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840" yWindow="-27380" windowWidth="30540" windowHeight="12220"/>
  </bookViews>
  <sheets>
    <sheet name="Introduction" sheetId="4" r:id="rId1"/>
    <sheet name="Sharing Read Me" sheetId="11" r:id="rId2"/>
    <sheet name="Instructions" sheetId="7" r:id="rId3"/>
    <sheet name="Cloud Vendor Assessment Tool" sheetId="1" r:id="rId4"/>
    <sheet name="Standards Crosswalk" sheetId="10" r:id="rId5"/>
    <sheet name="Acknowledgments" sheetId="6" r:id="rId6"/>
    <sheet name="ChangeLog" sheetId="3" state="hidden" r:id="rId7"/>
    <sheet name="Values" sheetId="2" state="hidden" r:id="rId8"/>
  </sheets>
  <definedNames>
    <definedName name="_ftn1" localSheetId="2">Instructions!$A$28</definedName>
    <definedName name="_ftnref1" localSheetId="2">Instructions!$A$4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95" i="10" l="1"/>
  <c r="G263" i="10"/>
  <c r="G253" i="10"/>
  <c r="G248" i="10"/>
  <c r="G242" i="10"/>
  <c r="G239" i="10"/>
  <c r="G215" i="10"/>
  <c r="G208" i="10"/>
  <c r="G196" i="10"/>
  <c r="G183" i="10"/>
  <c r="G168" i="10"/>
  <c r="G148" i="10"/>
  <c r="G145" i="10"/>
  <c r="G113" i="10"/>
  <c r="G97" i="10"/>
  <c r="G84" i="10"/>
  <c r="G64" i="10"/>
  <c r="G43" i="10"/>
  <c r="G31" i="10"/>
  <c r="G26" i="10"/>
  <c r="G18" i="10"/>
  <c r="G11" i="10"/>
  <c r="H295" i="10"/>
  <c r="F295" i="10"/>
  <c r="E295" i="10"/>
  <c r="D295" i="10"/>
  <c r="C295" i="10"/>
  <c r="H263" i="10"/>
  <c r="F263" i="10"/>
  <c r="E263" i="10"/>
  <c r="D263" i="10"/>
  <c r="C263" i="10"/>
  <c r="H253" i="10"/>
  <c r="F253" i="10"/>
  <c r="E253" i="10"/>
  <c r="D253" i="10"/>
  <c r="C253" i="10"/>
  <c r="H248" i="10"/>
  <c r="F248" i="10"/>
  <c r="E248" i="10"/>
  <c r="D248" i="10"/>
  <c r="C248" i="10"/>
  <c r="H242" i="10"/>
  <c r="F242" i="10"/>
  <c r="E242" i="10"/>
  <c r="D242" i="10"/>
  <c r="C242" i="10"/>
  <c r="H239" i="10"/>
  <c r="F239" i="10"/>
  <c r="E239" i="10"/>
  <c r="D239" i="10"/>
  <c r="C239" i="10"/>
  <c r="H215" i="10"/>
  <c r="F215" i="10"/>
  <c r="E215" i="10"/>
  <c r="D215" i="10"/>
  <c r="C215" i="10"/>
  <c r="H208" i="10"/>
  <c r="F208" i="10"/>
  <c r="E208" i="10"/>
  <c r="D208" i="10"/>
  <c r="C208" i="10"/>
  <c r="H196" i="10"/>
  <c r="F196" i="10"/>
  <c r="E196" i="10"/>
  <c r="D196" i="10"/>
  <c r="C196" i="10"/>
  <c r="H183" i="10"/>
  <c r="F183" i="10"/>
  <c r="E183" i="10"/>
  <c r="D183" i="10"/>
  <c r="C183" i="10"/>
  <c r="H168" i="10"/>
  <c r="F168" i="10"/>
  <c r="E168" i="10"/>
  <c r="D168" i="10"/>
  <c r="C168" i="10"/>
  <c r="H148" i="10"/>
  <c r="F148" i="10"/>
  <c r="E148" i="10"/>
  <c r="D148" i="10"/>
  <c r="C148" i="10"/>
  <c r="H145" i="10"/>
  <c r="F145" i="10"/>
  <c r="E145" i="10"/>
  <c r="D145" i="10"/>
  <c r="C145" i="10"/>
  <c r="H113" i="10"/>
  <c r="F113" i="10"/>
  <c r="E113" i="10"/>
  <c r="D113" i="10"/>
  <c r="C113" i="10"/>
  <c r="H97" i="10"/>
  <c r="F97" i="10"/>
  <c r="E97" i="10"/>
  <c r="D97" i="10"/>
  <c r="C97" i="10"/>
  <c r="H84" i="10"/>
  <c r="F84" i="10"/>
  <c r="E84" i="10"/>
  <c r="D84" i="10"/>
  <c r="C84" i="10"/>
  <c r="H64" i="10"/>
  <c r="F64" i="10"/>
  <c r="E64" i="10"/>
  <c r="D64" i="10"/>
  <c r="C64" i="10"/>
  <c r="H43" i="10"/>
  <c r="F43" i="10"/>
  <c r="E43" i="10"/>
  <c r="D43" i="10"/>
  <c r="C43" i="10"/>
  <c r="H31" i="10"/>
  <c r="F31" i="10"/>
  <c r="E31" i="10"/>
  <c r="D31" i="10"/>
  <c r="C31" i="10"/>
  <c r="H26" i="10"/>
  <c r="F26" i="10"/>
  <c r="E26" i="10"/>
  <c r="D26" i="10"/>
  <c r="C26" i="10"/>
  <c r="H18" i="10"/>
  <c r="F18" i="10"/>
  <c r="E18" i="10"/>
  <c r="D18" i="10"/>
  <c r="C18" i="10"/>
  <c r="H11" i="10"/>
  <c r="F11" i="10"/>
  <c r="E11" i="10"/>
  <c r="D11" i="10"/>
  <c r="C11" i="10"/>
  <c r="A295" i="10"/>
  <c r="A263" i="10"/>
  <c r="A253" i="10"/>
  <c r="A248" i="10"/>
  <c r="A242" i="10"/>
  <c r="A239" i="10"/>
  <c r="A215" i="10"/>
  <c r="A208" i="10"/>
  <c r="A196" i="10"/>
  <c r="A183" i="10"/>
  <c r="A168" i="10"/>
  <c r="A148" i="10"/>
  <c r="A145" i="10"/>
  <c r="A113" i="10"/>
  <c r="A97" i="10"/>
  <c r="A84" i="10"/>
  <c r="A64" i="10"/>
  <c r="A43" i="10"/>
  <c r="A31" i="10"/>
  <c r="A26" i="10"/>
  <c r="E215" i="1"/>
  <c r="E180" i="1"/>
  <c r="E178" i="1"/>
  <c r="E105" i="1"/>
  <c r="E83" i="1"/>
  <c r="E77" i="1"/>
  <c r="E205" i="1"/>
  <c r="E204" i="1"/>
  <c r="E76" i="1"/>
  <c r="E69" i="1"/>
  <c r="E48" i="1"/>
  <c r="E94" i="1"/>
  <c r="E201" i="1"/>
  <c r="E321" i="1"/>
  <c r="E156" i="1"/>
  <c r="A62" i="1"/>
  <c r="A327" i="1"/>
  <c r="A294" i="1"/>
  <c r="A284" i="1"/>
  <c r="A279" i="1"/>
  <c r="A273" i="1"/>
  <c r="A270" i="1"/>
  <c r="A246" i="1"/>
  <c r="A239" i="1"/>
  <c r="A227" i="1"/>
  <c r="A214" i="1"/>
  <c r="A199" i="1"/>
  <c r="A179" i="1"/>
  <c r="A176" i="1"/>
  <c r="A144" i="1"/>
  <c r="A128" i="1"/>
  <c r="A115" i="1"/>
  <c r="A95" i="1"/>
  <c r="A74" i="1"/>
  <c r="E41" i="1"/>
  <c r="E261" i="1"/>
  <c r="E258" i="1"/>
  <c r="E248" i="1"/>
  <c r="E233" i="1"/>
  <c r="E232" i="1"/>
  <c r="E226" i="1"/>
  <c r="E198" i="1"/>
  <c r="E191" i="1"/>
  <c r="E149" i="1"/>
  <c r="E148" i="1"/>
  <c r="E143" i="1"/>
  <c r="E142" i="1"/>
  <c r="E72" i="1"/>
  <c r="E73" i="1"/>
  <c r="E47" i="1"/>
  <c r="E45" i="1"/>
  <c r="E44" i="1"/>
  <c r="E43" i="1"/>
  <c r="E91" i="1"/>
  <c r="E56" i="1"/>
  <c r="E61" i="1"/>
  <c r="E46" i="1"/>
  <c r="E330" i="1"/>
  <c r="E269" i="1"/>
  <c r="E281" i="1"/>
  <c r="E280" i="1"/>
  <c r="E283" i="1"/>
  <c r="E282" i="1"/>
  <c r="E181" i="1"/>
  <c r="E339" i="1"/>
  <c r="E338" i="1"/>
  <c r="E337" i="1"/>
  <c r="E336" i="1"/>
  <c r="E335" i="1"/>
  <c r="E334" i="1"/>
  <c r="E332" i="1"/>
  <c r="E333" i="1"/>
  <c r="E331" i="1"/>
  <c r="E329" i="1"/>
  <c r="E328" i="1"/>
  <c r="E319" i="1"/>
  <c r="E320" i="1"/>
  <c r="E322" i="1"/>
  <c r="E323" i="1"/>
  <c r="E324" i="1"/>
  <c r="E325" i="1"/>
  <c r="E326" i="1"/>
  <c r="E318" i="1"/>
  <c r="E317" i="1"/>
  <c r="E313" i="1"/>
  <c r="E314" i="1"/>
  <c r="E315" i="1"/>
  <c r="E316" i="1"/>
  <c r="E312" i="1"/>
  <c r="E311" i="1"/>
  <c r="E310" i="1"/>
  <c r="E308" i="1"/>
  <c r="E309" i="1"/>
  <c r="E307" i="1"/>
  <c r="E306" i="1"/>
  <c r="E297" i="1"/>
  <c r="E298" i="1"/>
  <c r="E299" i="1"/>
  <c r="E300" i="1"/>
  <c r="E301" i="1"/>
  <c r="E302" i="1"/>
  <c r="E303" i="1"/>
  <c r="E304" i="1"/>
  <c r="E305" i="1"/>
  <c r="E296" i="1"/>
  <c r="E295" i="1"/>
  <c r="E293" i="1"/>
  <c r="E291" i="1"/>
  <c r="E288" i="1"/>
  <c r="E287" i="1"/>
  <c r="E285" i="1"/>
  <c r="E292" i="1"/>
  <c r="E290" i="1"/>
  <c r="E286" i="1"/>
  <c r="E277" i="1"/>
  <c r="E276" i="1"/>
  <c r="E274" i="1"/>
  <c r="E271" i="1"/>
  <c r="E272" i="1"/>
  <c r="E267" i="1"/>
  <c r="E266" i="1"/>
  <c r="E165" i="1"/>
  <c r="E265" i="1"/>
  <c r="E264" i="1"/>
  <c r="E257" i="1"/>
  <c r="E262" i="1"/>
  <c r="E259" i="1"/>
  <c r="E260" i="1"/>
  <c r="E256" i="1"/>
  <c r="E255" i="1"/>
  <c r="E254" i="1"/>
  <c r="E253" i="1"/>
  <c r="E252" i="1"/>
  <c r="E251" i="1"/>
  <c r="E250" i="1"/>
  <c r="E249" i="1"/>
  <c r="E247" i="1"/>
  <c r="E244" i="1"/>
  <c r="E243" i="1"/>
  <c r="E242" i="1"/>
  <c r="E241" i="1"/>
  <c r="E245" i="1"/>
  <c r="E240" i="1"/>
  <c r="E238" i="1"/>
  <c r="E237" i="1"/>
  <c r="E236" i="1"/>
  <c r="E235" i="1"/>
  <c r="E234" i="1"/>
  <c r="E231" i="1"/>
  <c r="E230" i="1"/>
  <c r="E229" i="1"/>
  <c r="E228" i="1"/>
  <c r="E225" i="1"/>
  <c r="E224" i="1"/>
  <c r="E223" i="1"/>
  <c r="E222" i="1"/>
  <c r="E221" i="1"/>
  <c r="E220" i="1"/>
  <c r="E219" i="1"/>
  <c r="E218" i="1"/>
  <c r="E217" i="1"/>
  <c r="E216" i="1"/>
  <c r="E213" i="1"/>
  <c r="E212" i="1"/>
  <c r="E211" i="1"/>
  <c r="E210" i="1"/>
  <c r="E209" i="1"/>
  <c r="E208" i="1"/>
  <c r="E207" i="1"/>
  <c r="E206" i="1"/>
  <c r="E203" i="1"/>
  <c r="E202" i="1"/>
  <c r="E200" i="1"/>
  <c r="E197" i="1"/>
  <c r="E186" i="1"/>
  <c r="E196" i="1"/>
  <c r="E195" i="1"/>
  <c r="E192" i="1"/>
  <c r="E190" i="1"/>
  <c r="E189" i="1"/>
  <c r="E188" i="1"/>
  <c r="E185" i="1"/>
  <c r="E187" i="1"/>
  <c r="E184" i="1"/>
  <c r="E183" i="1"/>
  <c r="E182" i="1"/>
  <c r="E177" i="1"/>
  <c r="E169" i="1"/>
  <c r="E163" i="1"/>
  <c r="E170" i="1"/>
  <c r="E164" i="1"/>
  <c r="E162" i="1"/>
  <c r="E161" i="1"/>
  <c r="E160" i="1"/>
  <c r="E158" i="1"/>
  <c r="E159" i="1"/>
  <c r="E157" i="1"/>
  <c r="E155" i="1"/>
  <c r="E154" i="1"/>
  <c r="E153" i="1"/>
  <c r="E150" i="1"/>
  <c r="E147" i="1"/>
  <c r="E152" i="1"/>
  <c r="E151" i="1"/>
  <c r="E146" i="1"/>
  <c r="E145" i="1"/>
  <c r="E132" i="1"/>
  <c r="E141" i="1"/>
  <c r="E140" i="1"/>
  <c r="E134" i="1"/>
  <c r="E135" i="1"/>
  <c r="E136" i="1"/>
  <c r="E137" i="1"/>
  <c r="E138" i="1"/>
  <c r="E139" i="1"/>
  <c r="E133" i="1"/>
  <c r="E131" i="1"/>
  <c r="E130" i="1"/>
  <c r="E127" i="1"/>
  <c r="E125" i="1"/>
  <c r="E124" i="1"/>
  <c r="E123" i="1"/>
  <c r="E122" i="1"/>
  <c r="E121" i="1"/>
  <c r="E120" i="1"/>
  <c r="E119" i="1"/>
  <c r="E118" i="1"/>
  <c r="E117" i="1"/>
  <c r="E116" i="1"/>
  <c r="E114" i="1"/>
  <c r="E113" i="1"/>
  <c r="E112" i="1"/>
  <c r="E111" i="1"/>
  <c r="E110" i="1"/>
  <c r="E109" i="1"/>
  <c r="E108" i="1"/>
  <c r="E107" i="1"/>
  <c r="E106" i="1"/>
  <c r="E104" i="1"/>
  <c r="E103" i="1"/>
  <c r="E102" i="1"/>
  <c r="E101" i="1"/>
  <c r="E99" i="1"/>
  <c r="E98" i="1"/>
  <c r="E97" i="1"/>
  <c r="E96" i="1"/>
  <c r="E93" i="1"/>
  <c r="E92" i="1"/>
  <c r="E90" i="1"/>
  <c r="E89" i="1"/>
  <c r="E88" i="1"/>
  <c r="E100" i="1"/>
  <c r="E87" i="1"/>
  <c r="E85" i="1"/>
  <c r="E84" i="1"/>
  <c r="E82" i="1"/>
  <c r="E78" i="1"/>
  <c r="E80" i="1"/>
  <c r="E81" i="1"/>
  <c r="E79" i="1"/>
  <c r="E64" i="1"/>
  <c r="E65" i="1"/>
  <c r="E66" i="1"/>
  <c r="E67" i="1"/>
  <c r="E68" i="1"/>
  <c r="E70" i="1"/>
  <c r="E71" i="1"/>
  <c r="E63" i="1"/>
  <c r="E59" i="1"/>
  <c r="E60" i="1"/>
  <c r="E58" i="1"/>
  <c r="E52" i="1"/>
  <c r="E53" i="1"/>
  <c r="E54" i="1"/>
  <c r="E55" i="1"/>
  <c r="E51" i="1"/>
  <c r="E40" i="1"/>
  <c r="E39" i="1"/>
  <c r="E38" i="1"/>
  <c r="E37" i="1"/>
  <c r="E36" i="1"/>
  <c r="E35" i="1"/>
  <c r="A57" i="1"/>
  <c r="E50" i="1"/>
  <c r="E278" i="1"/>
  <c r="E275" i="1"/>
  <c r="E268" i="1"/>
  <c r="E86" i="1"/>
  <c r="E126" i="1"/>
  <c r="E289" i="1"/>
  <c r="E263" i="1"/>
  <c r="E172" i="1"/>
  <c r="E173" i="1"/>
  <c r="E168" i="1"/>
  <c r="E166" i="1"/>
  <c r="E194" i="1"/>
  <c r="E129" i="1"/>
  <c r="E167" i="1"/>
  <c r="E171" i="1"/>
  <c r="E174" i="1"/>
  <c r="E175" i="1"/>
  <c r="E193" i="1"/>
  <c r="E75" i="1"/>
</calcChain>
</file>

<file path=xl/comments1.xml><?xml version="1.0" encoding="utf-8"?>
<comments xmlns="http://schemas.openxmlformats.org/spreadsheetml/2006/main">
  <authors>
    <author>Charles Escue</author>
    <author>Microsoft Office User</author>
  </authors>
  <commentList>
    <comment ref="B37" authorId="0">
      <text>
        <r>
          <rPr>
            <b/>
            <sz val="10"/>
            <color indexed="81"/>
            <rFont val="Calibri"/>
          </rPr>
          <t>The Institution views hosted solutions such as AWS, Rackspace, Azure, and other PaaS/SaaS offerings as third parties. If services such as these are used in your environment, respond "Yes".</t>
        </r>
      </text>
    </comment>
    <comment ref="B43" authorId="1">
      <text>
        <r>
          <rPr>
            <sz val="10"/>
            <color indexed="81"/>
            <rFont val="Calibri"/>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44" authorId="1">
      <text>
        <r>
          <rPr>
            <sz val="10"/>
            <color indexed="81"/>
            <rFont val="Calibri"/>
          </rPr>
          <t>CSA STAR Self Assessment is free and open to all cloud providers and allows them to submit self assessment reports that document compliance to CSA-published best practices.
Website: https://cloudsecurityalliance.org/star/self-assessment/</t>
        </r>
      </text>
    </comment>
    <comment ref="B45" authorId="1">
      <text>
        <r>
          <rPr>
            <sz val="10"/>
            <color indexed="81"/>
            <rFont val="Calibri"/>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47" authorId="1">
      <text>
        <r>
          <rPr>
            <sz val="10"/>
            <color indexed="81"/>
            <rFont val="Calibri"/>
          </rPr>
          <t>The Federal Information Security Management Act (FISMA) is United States legislation that defines a comprehensive framework to protect government information, operations and assets against natural or man-made threats.
Website: http://www.dhs.gov/FISMA</t>
        </r>
      </text>
    </comment>
    <comment ref="B192" authorId="0">
      <text>
        <r>
          <rPr>
            <sz val="10"/>
            <color indexed="81"/>
            <rFont val="Calibri"/>
          </rPr>
          <t xml:space="preserve">https://uptimeinstitute.com/tiers
</t>
        </r>
      </text>
    </comment>
  </commentList>
</comments>
</file>

<file path=xl/comments2.xml><?xml version="1.0" encoding="utf-8"?>
<comments xmlns="http://schemas.openxmlformats.org/spreadsheetml/2006/main">
  <authors>
    <author>Charles Escue</author>
    <author>Microsoft Office User</author>
  </authors>
  <commentList>
    <comment ref="B6" authorId="0">
      <text>
        <r>
          <rPr>
            <b/>
            <sz val="10"/>
            <color indexed="81"/>
            <rFont val="Calibri"/>
          </rPr>
          <t>The Institution views hosted solutions such as AWS, Rackspace, Azure, and other PaaS/SaaS offerings as third parties. If services such as these are used in your environment, respond "Yes".</t>
        </r>
      </text>
    </comment>
    <comment ref="B12" authorId="1">
      <text>
        <r>
          <rPr>
            <sz val="10"/>
            <color indexed="81"/>
            <rFont val="Calibri"/>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13" authorId="1">
      <text>
        <r>
          <rPr>
            <sz val="10"/>
            <color indexed="81"/>
            <rFont val="Calibri"/>
          </rPr>
          <t>CSA STAR Self Assessment is free and open to all cloud providers and allows them to submit self assessment reports that document compliance to CSA-published best practices.
Website: https://cloudsecurityalliance.org/star/self-assessment/</t>
        </r>
      </text>
    </comment>
    <comment ref="B14" authorId="1">
      <text>
        <r>
          <rPr>
            <sz val="10"/>
            <color indexed="81"/>
            <rFont val="Calibri"/>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16" authorId="1">
      <text>
        <r>
          <rPr>
            <sz val="10"/>
            <color indexed="81"/>
            <rFont val="Calibri"/>
          </rPr>
          <t>The Federal Information Security Management Act (FISMA) is United States legislation that defines a comprehensive framework to protect government information, operations and assets against natural or man-made threats.
Website: http://www.dhs.gov/FISMA</t>
        </r>
      </text>
    </comment>
    <comment ref="B161" authorId="0">
      <text>
        <r>
          <rPr>
            <sz val="10"/>
            <color indexed="81"/>
            <rFont val="Calibri"/>
          </rPr>
          <t xml:space="preserve">https://uptimeinstitute.com/tiers
</t>
        </r>
      </text>
    </comment>
  </commentList>
</comments>
</file>

<file path=xl/sharedStrings.xml><?xml version="1.0" encoding="utf-8"?>
<sst xmlns="http://schemas.openxmlformats.org/spreadsheetml/2006/main" count="2415" uniqueCount="1084">
  <si>
    <t>Date</t>
  </si>
  <si>
    <t>General Information</t>
  </si>
  <si>
    <t>555-555-5555</t>
  </si>
  <si>
    <t>Vendor Name</t>
  </si>
  <si>
    <t>Product Name</t>
  </si>
  <si>
    <t>Product Description</t>
  </si>
  <si>
    <t>Web Link to Product Privacy Notice</t>
  </si>
  <si>
    <t>http://www.vendor.domain/privacynotice</t>
  </si>
  <si>
    <t>Vendor Contact Name</t>
  </si>
  <si>
    <t>Vendor Contact Title</t>
  </si>
  <si>
    <t>Vendor Contact Email</t>
  </si>
  <si>
    <t>Vendor Contact E-mail Address</t>
  </si>
  <si>
    <t>Vendor Contact Phone Number</t>
  </si>
  <si>
    <t>Instructions</t>
  </si>
  <si>
    <t>Qualifiers</t>
  </si>
  <si>
    <t>Vendor Answers</t>
  </si>
  <si>
    <t>Additional Information</t>
  </si>
  <si>
    <t>Guidance</t>
  </si>
  <si>
    <t>Will data regulated by PCI DSS reside in the vended product?</t>
  </si>
  <si>
    <t>Yes</t>
  </si>
  <si>
    <t>Documentation</t>
  </si>
  <si>
    <t>Have you undergone a SSAE 16 audit?</t>
  </si>
  <si>
    <t>Have you received the Cloud Security Alliance STAR certification?</t>
  </si>
  <si>
    <t>No</t>
  </si>
  <si>
    <t>What legal agreements (i.e. contracts) do you have in place with these third parties that address liability in the event of a data breach?</t>
  </si>
  <si>
    <t>Will the consulting take place on-premises or remotely?</t>
  </si>
  <si>
    <t>What software will be used to facilitate that access?</t>
  </si>
  <si>
    <t>Can we restrict that access based on source IP address?</t>
  </si>
  <si>
    <t>Does the application/service support being virtualized?</t>
  </si>
  <si>
    <t xml:space="preserve">Can user access be customized to allow read-only access, update access, or no-access to specific types of records, record attributes, components, or functions? </t>
  </si>
  <si>
    <t>Define the access control roles of employees that will have access to the data and in what capacity.</t>
  </si>
  <si>
    <t>How long are data backups stored?</t>
  </si>
  <si>
    <t>Are you performing offsite backups? (i.e. digitally moved off site)</t>
  </si>
  <si>
    <t>Will you handle data in a FERPA compliant manner?</t>
  </si>
  <si>
    <t>Does the database support encryption of specified data elements in storage?</t>
  </si>
  <si>
    <t>Do any of your servers reside in a co-located data center?</t>
  </si>
  <si>
    <t>Are your servers separated from other companies via a physical barrier, such as a cage or hardened walls?</t>
  </si>
  <si>
    <t>Does the physical barrier fully enclose the physical space preventing unauthorized physical contact with any of your devices?</t>
  </si>
  <si>
    <t>Does this data center operate outside of the United States?</t>
  </si>
  <si>
    <t>Are your primary and secondary data centers geographically diverse?</t>
  </si>
  <si>
    <t>Select the option that best describes the network segment that servers are connected to.</t>
  </si>
  <si>
    <t>Other</t>
  </si>
  <si>
    <t>Are any disaster recovery locations outside the United States?</t>
  </si>
  <si>
    <t xml:space="preserve">Does the system provide data input validation and error messages? </t>
  </si>
  <si>
    <t>Are you utilizing a web application firewall (WAF)?</t>
  </si>
  <si>
    <t>Are you utilizing a stateful packet inspection (SPI) firewall?</t>
  </si>
  <si>
    <t>Can you enforce password/passphrase aging requirements?</t>
  </si>
  <si>
    <t>What are the minimum and maximum password lengths supported, and what types of characters are supported?</t>
  </si>
  <si>
    <t>Describe the current/default/supported password/passphrase reset procedures?</t>
  </si>
  <si>
    <t>Are there any passwords/passphrases "hard coded" into your systems or products?</t>
  </si>
  <si>
    <t>Are user account passwords/passphrases visible in administration modules?</t>
  </si>
  <si>
    <t>Are user account passwords/passphrases stored encrypted?</t>
  </si>
  <si>
    <t>Is the video feed monitored by data center staff?</t>
  </si>
  <si>
    <t>Are individuals required to sign in/out for installation and removal of equipment?</t>
  </si>
  <si>
    <t>What are the equipment removal procedures for the clients?</t>
  </si>
  <si>
    <t>Do you have a documented patch management process?</t>
  </si>
  <si>
    <t>Can you accommodate encryption requirements using open standards?</t>
  </si>
  <si>
    <t>Have your developers been trained in secure coding techniques?</t>
  </si>
  <si>
    <t>Was your application developed using secure coding techniques?</t>
  </si>
  <si>
    <t>Do you subject your code to Static Code Analysis and/or Static Application Security Testing prior to release? If so, what tool(s) do you use?"</t>
  </si>
  <si>
    <t>Are information security principles designed into the product lifecycle?</t>
  </si>
  <si>
    <t>Do you have a documented systems development life cycle (SDLC)?</t>
  </si>
  <si>
    <t>Do you have a formal incident response plan?</t>
  </si>
  <si>
    <t>Is your company subject to US laws and regulations?</t>
  </si>
  <si>
    <t xml:space="preserve">Do you require new employees to fill out agreements and review policies?  </t>
  </si>
  <si>
    <t>Do you have a documented information security policy?</t>
  </si>
  <si>
    <t>Do you have an information security awareness program?</t>
  </si>
  <si>
    <t>Is the security awareness training mandatory for all employees?</t>
  </si>
  <si>
    <t>How frequently are employees required to undergo the security awareness training?</t>
  </si>
  <si>
    <t>Do you incorporate customer feedback into security feature requests?</t>
  </si>
  <si>
    <r>
      <t xml:space="preserve">Are your </t>
    </r>
    <r>
      <rPr>
        <i/>
        <sz val="11"/>
        <color theme="1"/>
        <rFont val="Verdana"/>
      </rPr>
      <t>applications</t>
    </r>
    <r>
      <rPr>
        <sz val="11"/>
        <color theme="1"/>
        <rFont val="Verdana"/>
      </rPr>
      <t xml:space="preserve"> scanned externally for vulnerabilities?</t>
    </r>
  </si>
  <si>
    <t>What was the date of your applications last external assessment? (mm/dd/yyyy)</t>
  </si>
  <si>
    <t>Are your applications scanned for vulnerabilities prior to new releases?</t>
  </si>
  <si>
    <r>
      <t xml:space="preserve">Are your </t>
    </r>
    <r>
      <rPr>
        <i/>
        <sz val="11"/>
        <color theme="1"/>
        <rFont val="Verdana"/>
      </rPr>
      <t>systems</t>
    </r>
    <r>
      <rPr>
        <sz val="11"/>
        <color theme="1"/>
        <rFont val="Verdana"/>
      </rPr>
      <t xml:space="preserve"> scanned externally for vulnerabilities?</t>
    </r>
  </si>
  <si>
    <t>On which mobile operating systems is your software or service supported?</t>
  </si>
  <si>
    <t>Is the application available from a trusted source (e.g., iTunes App Store, Android Market, BB World)?</t>
  </si>
  <si>
    <t>Does the application store, process, or transmit critical data?</t>
  </si>
  <si>
    <t>Does the mobile application support Kerberos, CAS, or Active Directory authentication?</t>
  </si>
  <si>
    <t>Does the application adhere to secure coding practices?</t>
  </si>
  <si>
    <t>Has the application been tested for vulnerabilities by a third party?</t>
  </si>
  <si>
    <t>State the party that performed the test and the date it was conducted?</t>
  </si>
  <si>
    <t>Does your application require user and system administrator password changes at a frequency no greater than 90 days?</t>
  </si>
  <si>
    <t>Does your application require a user to set their own password after an administrator reset or on first use of the account?</t>
  </si>
  <si>
    <t xml:space="preserve">Does your application lock-out an account after a number of failed login attempts? </t>
  </si>
  <si>
    <t>Does your application automatically lock or log-out an account after a period of inactivity?</t>
  </si>
  <si>
    <t>Are passwords visible in plain text, whether when stored or entered, including service level accounts (i.e. database accounts, etc.)?</t>
  </si>
  <si>
    <t>Does your application provide the ability to define user access levels?</t>
  </si>
  <si>
    <t>Does your application support varying levels of access to records based on user ID?</t>
  </si>
  <si>
    <t>Is there a limit to the number of groups a user can be assigned?</t>
  </si>
  <si>
    <t xml:space="preserve">Does the application log record access including specific user, date/time of access, and originating IP or device? </t>
  </si>
  <si>
    <t>Does the application log administrative activity, such user account access changes and password changes, including specific user, date/time of changes, and originating IP or device?</t>
  </si>
  <si>
    <t>How long does the application keep access/change logs?</t>
  </si>
  <si>
    <t xml:space="preserve">Can the application logs be archived? </t>
  </si>
  <si>
    <t xml:space="preserve">Can the application logs be saved externally? </t>
  </si>
  <si>
    <t>Do accounts used for vendor supplied remote support abide by the same authentication policies and access logging as the rest of the system?</t>
  </si>
  <si>
    <t>Can you provide a HIPAA compliance attestation document?</t>
  </si>
  <si>
    <t>Does your systems or products store, process, or transmit cardholder (payment/credit/debt card) data?</t>
  </si>
  <si>
    <t>Are you compliant with the Payment Card Industry Data Security Standard (PCI DSS)?</t>
  </si>
  <si>
    <t>Do you have a current, executed within the past year, Attestation of Compliance (AoC) or Report on Compliance (RoC)?</t>
  </si>
  <si>
    <t>Are you classified as a service provider?</t>
  </si>
  <si>
    <t xml:space="preserve">Are you on the list of VISA approved service providers? </t>
  </si>
  <si>
    <t>Are you classified as a merchant?  If so, what level (1, 2, 3, 4)?</t>
  </si>
  <si>
    <t>Describe the architecture employed by the system to verify and authorize credit card transactions.</t>
  </si>
  <si>
    <t xml:space="preserve">What payment processors/gateways does the system support? </t>
  </si>
  <si>
    <t>Can the application be installed in a PCI DSS compliant manner ?</t>
  </si>
  <si>
    <t xml:space="preserve">Is the application listed as an approved PA-DSS application? </t>
  </si>
  <si>
    <t xml:space="preserve">Include documentation describing the systems' abilities to comply with the PCI DSS and any features or capabilities of the system that must be added or changed in order to operate in compliance with the standards. </t>
  </si>
  <si>
    <t>Campus</t>
  </si>
  <si>
    <t>Answers</t>
  </si>
  <si>
    <t>N/A</t>
  </si>
  <si>
    <t>DRPTestingSchedule</t>
  </si>
  <si>
    <t>Quarterly</t>
  </si>
  <si>
    <t>Semi-annually</t>
  </si>
  <si>
    <t>Annually</t>
  </si>
  <si>
    <t>NetworkTypes</t>
  </si>
  <si>
    <t>Exclusive VLAN</t>
  </si>
  <si>
    <t>Shared VLAN</t>
  </si>
  <si>
    <t>Physically Separate</t>
  </si>
  <si>
    <t>Flat Shared Network</t>
  </si>
  <si>
    <t>Consulting</t>
  </si>
  <si>
    <t>Remotely</t>
  </si>
  <si>
    <t>On-premises</t>
  </si>
  <si>
    <t>Does the system operate in a mixed authentication mode (i.e. external and local authentication)?</t>
  </si>
  <si>
    <t>Does your product process protected health information (PHI) or any data covered by the Health Insurance Portability and Accountability Act?</t>
  </si>
  <si>
    <t>HEISC Shared Assessments Working Group</t>
  </si>
  <si>
    <t>Assessment Contact</t>
  </si>
  <si>
    <t>ticket#@yourdomain.edu</t>
  </si>
  <si>
    <t>Do clients have the option to not participate in or postpone an upgrade to a new release?</t>
  </si>
  <si>
    <t>Does this process adhere to DoD 5220.22-M and/or NIST SP 800-88 standards?</t>
  </si>
  <si>
    <t>Are these rights retained even through a provider acquisition or bankruptcy event?</t>
  </si>
  <si>
    <t>In the event of imminent bankruptcy, closing of business, or retirement of service, will you provide 90 days for customers to get their data out of the system and migrate applications?</t>
  </si>
  <si>
    <t>Will you comply with applicable Breach Notification Laws?</t>
  </si>
  <si>
    <t>How does your organization ensure that only application software verifiable as authorized, tested, and approved for production, and having met all other requirements and reviews necessary for commissioning, is placed into production?</t>
  </si>
  <si>
    <t xml:space="preserve">Do you have a documented and currently followed change management process (CMP)? </t>
  </si>
  <si>
    <t>Are upgrades or system changes installed during off-peak hours or in a manner that does not impact the customer?</t>
  </si>
  <si>
    <t>Do procedures exist to provide that emergency changes are documented and authorized (including after the fact approval)?</t>
  </si>
  <si>
    <t>What Tier Level is your data center (per levels defined by the Uptime Institute)?</t>
  </si>
  <si>
    <t>How often are redundant power strategies tested?</t>
  </si>
  <si>
    <t>Are backup copies made according to pre-defined schedules and securely stored and protected?</t>
  </si>
  <si>
    <t>Is media used for long-term retention of business data and archival purposes stored in a secure, environmentally protected area?</t>
  </si>
  <si>
    <t>Do procedures exist to ensure that retention and destruction of data meets established business and regulatory requirements?</t>
  </si>
  <si>
    <t>Have you implemented an Intrusion Detection System (network-based)?</t>
  </si>
  <si>
    <t>Have you implemented an Intrusion Prevention System (network-based)?</t>
  </si>
  <si>
    <t>Do you monitor for intrusions on a 24x7x365 basis?</t>
  </si>
  <si>
    <t>Is intrusion monitoring performed internally or by a third-party service?</t>
  </si>
  <si>
    <t>Identify the most current version of the software. Detail the percentage of live customers that are utilizing the proposed version of the software as well as each version of the software currently in use.</t>
  </si>
  <si>
    <t xml:space="preserve">Can your system take advantage of mobile and/or GPS enabled mobile devices?  </t>
  </si>
  <si>
    <t>Indicate the last time that the Disaster Recovery Plan was tested and provide a summary of the results (including actual recovery time).</t>
  </si>
  <si>
    <t>Do the documented test results identify your organizations actual recovery time capabilities for technology and facilities?</t>
  </si>
  <si>
    <t>Does your organization have a Disaster Recovery site or a contracted Disaster Recovery provider?</t>
  </si>
  <si>
    <t>DR Types</t>
  </si>
  <si>
    <t>Cold</t>
  </si>
  <si>
    <t>Hot</t>
  </si>
  <si>
    <t>What type of availability does your Disaster Recovery site provide?</t>
  </si>
  <si>
    <t>Does your organization conduct an annual test of relocating to this site for disaster recovery purposes?</t>
  </si>
  <si>
    <t>What agreements are required and policies reviewed? (i.e. confidentiality agreement, etc.)</t>
  </si>
  <si>
    <t>Tenants</t>
  </si>
  <si>
    <t>Single-tenant</t>
  </si>
  <si>
    <t>Multiple-tenant</t>
  </si>
  <si>
    <t>Is an owner assigned who is responsible for the maintenance and review of the Business Continuity Plan?</t>
  </si>
  <si>
    <t>Is there a documented communication plan in your DRP for impacted clients?</t>
  </si>
  <si>
    <t>Is there a defined problem/issue escalation plan in your DRP for impacted clients?</t>
  </si>
  <si>
    <t>Is there a defined problem/issue escalation plan in your BCP for impacted clients?</t>
  </si>
  <si>
    <t>Is there a documented communication plan in your BCP for impacted clients?</t>
  </si>
  <si>
    <t>Does your organization conduct training and awareness activities to validate its employees understanding of their roles and responsibilities during a crisis?</t>
  </si>
  <si>
    <t>Are specific crisis management roles and responsibilities defined and documented?</t>
  </si>
  <si>
    <t>Does your organization have an alternative business site or a contracted Business Recovery provider?</t>
  </si>
  <si>
    <t>Does your organization conduct an annual test of relocating to this alternate site for business recovery purposes?</t>
  </si>
  <si>
    <t>Briefly describe your security organization. Include the responsible party for your information security program and the size of your security staff?</t>
  </si>
  <si>
    <t>Do you employ host-based intrusion detection?</t>
  </si>
  <si>
    <t>Do you employ host-based intrusion prevention?</t>
  </si>
  <si>
    <t>Is a process documented, and currently followed, that requires a review and update  of the access-list for privileged accounts?</t>
  </si>
  <si>
    <t>Primary Campus</t>
  </si>
  <si>
    <t>Have you completed the Cloud Security Alliance (CSA) self assessment or CAIQ?</t>
  </si>
  <si>
    <t>Are you compliant with FISMA standards (indicate at what level)?</t>
  </si>
  <si>
    <t>Describe how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t>
  </si>
  <si>
    <r>
      <t xml:space="preserve">Does the </t>
    </r>
    <r>
      <rPr>
        <i/>
        <sz val="11"/>
        <color theme="1"/>
        <rFont val="Verdana"/>
      </rPr>
      <t>system</t>
    </r>
    <r>
      <rPr>
        <sz val="11"/>
        <color theme="1"/>
        <rFont val="Verdana"/>
      </rPr>
      <t xml:space="preserve"> (servers/infrastructure) support external authentication services (e.g. Active Directory, LDAP) in place of local authentication?</t>
    </r>
  </si>
  <si>
    <t>List all supported multi-factor authentication methods, technologies, and/or products and provide a brief summary of each.</t>
  </si>
  <si>
    <r>
      <t xml:space="preserve">Does your </t>
    </r>
    <r>
      <rPr>
        <i/>
        <sz val="11"/>
        <color theme="1"/>
        <rFont val="Verdana"/>
      </rPr>
      <t>application</t>
    </r>
    <r>
      <rPr>
        <sz val="11"/>
        <color theme="1"/>
        <rFont val="Verdana"/>
      </rPr>
      <t xml:space="preserve"> and/or user-frontend/portal support multi-factor authentication? (e.g. Duo, Google Authenticator, OTP, etc.)</t>
    </r>
  </si>
  <si>
    <t>Do your workforce members receive regular training related to the HIPAA Privacy and Security Rules and the HITECH Act?</t>
  </si>
  <si>
    <t>Do you monitor or receive information regarding changes in HIPAA regulations?</t>
  </si>
  <si>
    <t>Has your organization designated HIPAA Privacy and Security officers as required by the Rules?</t>
  </si>
  <si>
    <t>Do you comply with the requirements of the Health Information Technology for Economic and Clinical Health Act (HITECH)?</t>
  </si>
  <si>
    <t>Do you have an incident response process and reporting in place to investigate any potential incidents and report actual incidents?</t>
  </si>
  <si>
    <t>Do you have a plan to comply with the Breach Notification requirements if there is a breach of data?</t>
  </si>
  <si>
    <t>Have you conducted a risk analysis as required under the Security Rule?</t>
  </si>
  <si>
    <t>Have you identified areas of risks?</t>
  </si>
  <si>
    <t>Have you taken actions to mitigate the identified risks?</t>
  </si>
  <si>
    <t>Does your data backup and retention policies and practices meet HIPAA requirements?</t>
  </si>
  <si>
    <t>Do you have a disaster recovery plan and emergency mode operation plan?</t>
  </si>
  <si>
    <t>Have the policies/plans mentioned above been tested?</t>
  </si>
  <si>
    <t>Are you willing to enter into a Business Associate Agreement (BAA)?</t>
  </si>
  <si>
    <t>Version</t>
  </si>
  <si>
    <t>Description of Change</t>
  </si>
  <si>
    <t>v0.6</t>
  </si>
  <si>
    <t></t>
  </si>
  <si>
    <t>Do you comply with ISO 9001?</t>
  </si>
  <si>
    <t>Will your company provide quality and performance metrics in relation to the scope of services and performance expectations for the services you are offering?</t>
  </si>
  <si>
    <t>Do you have a program to keep your customers abreast of higher education and/or industry issues?</t>
  </si>
  <si>
    <t>Company Overview</t>
  </si>
  <si>
    <t>Describe your organization’s business background and ownership structure, including all parent and subsidiary relationships.</t>
  </si>
  <si>
    <t>Please explain in detail any involvement in business-related litigation in the last five years by your organization, its management, or the staff that will be providing the administrative services.</t>
  </si>
  <si>
    <t>Describe how long your organization has conducted business in this product area.</t>
  </si>
  <si>
    <t>Do you have a Business Continuity Plan (BCP)?</t>
  </si>
  <si>
    <t>Do you have a Disaster Recovery Plan (DRP)?</t>
  </si>
  <si>
    <t>Provide a general summary of your Quality Assurance program.</t>
  </si>
  <si>
    <t>Are video monitoring feeds retained?</t>
  </si>
  <si>
    <t>Does the systems or products use a third party to collect, store, process, or transmit cardholder (payment/credit/debt card) data?</t>
  </si>
  <si>
    <t>v0.7</t>
  </si>
  <si>
    <t>Completed base formulas for all Guidance fields. Changed Qualifer formatting to make questions readable (and optional).</t>
  </si>
  <si>
    <t>v0.8</t>
  </si>
  <si>
    <t>Are systems that support this service managed via a separate management network?</t>
  </si>
  <si>
    <t>Are employee mobile devices managed by your company's Mobile Device Management (MDM) platform?</t>
  </si>
  <si>
    <t>Provide a general summary of your systems management and configuration strategy, including servers, appliances, and mobile devices (company and employee owned).</t>
  </si>
  <si>
    <t>v0.9</t>
  </si>
  <si>
    <t>QUAL-01</t>
  </si>
  <si>
    <t>QUAL-02</t>
  </si>
  <si>
    <t>QUAL-03</t>
  </si>
  <si>
    <t>QUAL-04</t>
  </si>
  <si>
    <t>QUAL-05</t>
  </si>
  <si>
    <t>QUAL-06</t>
  </si>
  <si>
    <t>QUAL-07</t>
  </si>
  <si>
    <t>DOCU-01</t>
  </si>
  <si>
    <t>DOCU-02</t>
  </si>
  <si>
    <t>DOCU-03</t>
  </si>
  <si>
    <t>DOCU-04</t>
  </si>
  <si>
    <t>DOCU-05</t>
  </si>
  <si>
    <t>DOCU-06</t>
  </si>
  <si>
    <t>COMP-01</t>
  </si>
  <si>
    <t>COMP-02</t>
  </si>
  <si>
    <t>COMP-03</t>
  </si>
  <si>
    <t>COMP-04</t>
  </si>
  <si>
    <t>COMP-05</t>
  </si>
  <si>
    <t>COMP-06</t>
  </si>
  <si>
    <t>THRD-01</t>
  </si>
  <si>
    <t>THRD-02</t>
  </si>
  <si>
    <t>THRD-03</t>
  </si>
  <si>
    <t>CONS-01</t>
  </si>
  <si>
    <t>CONS-02</t>
  </si>
  <si>
    <t>CONS-03</t>
  </si>
  <si>
    <t>CONS-04</t>
  </si>
  <si>
    <t>CONS-05</t>
  </si>
  <si>
    <t>CONS-06</t>
  </si>
  <si>
    <t>CONS-07</t>
  </si>
  <si>
    <t>CONS-08</t>
  </si>
  <si>
    <t>CONS-09</t>
  </si>
  <si>
    <t>CONS-10</t>
  </si>
  <si>
    <t>CONS-11</t>
  </si>
  <si>
    <t>APPL-01</t>
  </si>
  <si>
    <t>APPL-02</t>
  </si>
  <si>
    <t>APPL-04</t>
  </si>
  <si>
    <t>APPL-05</t>
  </si>
  <si>
    <t>APPL-06</t>
  </si>
  <si>
    <t>APPL-07</t>
  </si>
  <si>
    <t>APPL-08</t>
  </si>
  <si>
    <t>APPL-09</t>
  </si>
  <si>
    <t>APPL-10</t>
  </si>
  <si>
    <t>APPL-11</t>
  </si>
  <si>
    <t>APPL-12</t>
  </si>
  <si>
    <t>APPL-13</t>
  </si>
  <si>
    <t>APPL-14</t>
  </si>
  <si>
    <t>APPL-16</t>
  </si>
  <si>
    <t>APPL-17</t>
  </si>
  <si>
    <t>APPL-18</t>
  </si>
  <si>
    <t>APPL-19</t>
  </si>
  <si>
    <t>APPL-20</t>
  </si>
  <si>
    <t>BCPL-01</t>
  </si>
  <si>
    <t>AAAI-01</t>
  </si>
  <si>
    <t>AAAI-02</t>
  </si>
  <si>
    <t>AAAI-03</t>
  </si>
  <si>
    <t>AAAI-04</t>
  </si>
  <si>
    <t>AAAI-05</t>
  </si>
  <si>
    <t>AAAI-06</t>
  </si>
  <si>
    <t>AAAI-07</t>
  </si>
  <si>
    <t>AAAI-08</t>
  </si>
  <si>
    <t>AAAI-09</t>
  </si>
  <si>
    <t>AAAI-10</t>
  </si>
  <si>
    <t>AAAI-11</t>
  </si>
  <si>
    <t>AAAI-12</t>
  </si>
  <si>
    <t>AAAI-13</t>
  </si>
  <si>
    <t>AAAI-14</t>
  </si>
  <si>
    <t>AAAI-15</t>
  </si>
  <si>
    <t>AAAI-16</t>
  </si>
  <si>
    <t>AAAI-17</t>
  </si>
  <si>
    <t>AAAI-18</t>
  </si>
  <si>
    <t>AAAI-19</t>
  </si>
  <si>
    <t>BCPL-02</t>
  </si>
  <si>
    <t>BCPL-03</t>
  </si>
  <si>
    <t>BCPL-04</t>
  </si>
  <si>
    <t>BCPL-05</t>
  </si>
  <si>
    <t>BCPL-06</t>
  </si>
  <si>
    <t>BCPL-07</t>
  </si>
  <si>
    <t>BCPL-08</t>
  </si>
  <si>
    <t>BCPL-09</t>
  </si>
  <si>
    <t>BCPL-10</t>
  </si>
  <si>
    <t>BCPL-11</t>
  </si>
  <si>
    <t>BCPL-12</t>
  </si>
  <si>
    <t>CHNG-01</t>
  </si>
  <si>
    <t>CHNG-02</t>
  </si>
  <si>
    <t>CHNG-03</t>
  </si>
  <si>
    <t>CHNG-04</t>
  </si>
  <si>
    <t>CHNG-05</t>
  </si>
  <si>
    <t>CHNG-06</t>
  </si>
  <si>
    <t>CHNG-07</t>
  </si>
  <si>
    <t>CHNG-08</t>
  </si>
  <si>
    <t>CHNG-09</t>
  </si>
  <si>
    <t>CHNG-10</t>
  </si>
  <si>
    <t>CHNG-11</t>
  </si>
  <si>
    <t>CHNG-12</t>
  </si>
  <si>
    <t>CHNG-13</t>
  </si>
  <si>
    <t>CHNG-14</t>
  </si>
  <si>
    <t>CHNG-15</t>
  </si>
  <si>
    <t>DATA-01</t>
  </si>
  <si>
    <t>DATA-02</t>
  </si>
  <si>
    <t>DATA-03</t>
  </si>
  <si>
    <t>DATA-04</t>
  </si>
  <si>
    <t>DATA-05</t>
  </si>
  <si>
    <t>DATA-06</t>
  </si>
  <si>
    <t>DATA-07</t>
  </si>
  <si>
    <t>DATA-08</t>
  </si>
  <si>
    <t>DATA-09</t>
  </si>
  <si>
    <t>DATA-10</t>
  </si>
  <si>
    <t>DATA-11</t>
  </si>
  <si>
    <t>DATA-12</t>
  </si>
  <si>
    <t>DATA-13</t>
  </si>
  <si>
    <t>DATA-14</t>
  </si>
  <si>
    <t>DATA-15</t>
  </si>
  <si>
    <t>DATA-16</t>
  </si>
  <si>
    <t>DATA-17</t>
  </si>
  <si>
    <t>DATA-18</t>
  </si>
  <si>
    <t>DATA-19</t>
  </si>
  <si>
    <t>DATA-20</t>
  </si>
  <si>
    <t>DATA-21</t>
  </si>
  <si>
    <t>DATA-22</t>
  </si>
  <si>
    <t>DATA-23</t>
  </si>
  <si>
    <t>DATA-24</t>
  </si>
  <si>
    <t>DATA-25</t>
  </si>
  <si>
    <t>DATA-26</t>
  </si>
  <si>
    <t>DATA-27</t>
  </si>
  <si>
    <t>DATA-28</t>
  </si>
  <si>
    <t>DATA-29</t>
  </si>
  <si>
    <t>DBAS-01</t>
  </si>
  <si>
    <t>DBAS-02</t>
  </si>
  <si>
    <t>DCTR-01</t>
  </si>
  <si>
    <t>DCTR-02</t>
  </si>
  <si>
    <t>DCTR-03</t>
  </si>
  <si>
    <t>DCTR-04</t>
  </si>
  <si>
    <t>DCTR-05</t>
  </si>
  <si>
    <t>DCTR-06</t>
  </si>
  <si>
    <t>DCTR-07</t>
  </si>
  <si>
    <t>DCTR-08</t>
  </si>
  <si>
    <t>DCTR-09</t>
  </si>
  <si>
    <t>DCTR-10</t>
  </si>
  <si>
    <t>DCTR-11</t>
  </si>
  <si>
    <t>DCTR-12</t>
  </si>
  <si>
    <t>DCTR-13</t>
  </si>
  <si>
    <t>DCTR-14</t>
  </si>
  <si>
    <t>DCTR-15</t>
  </si>
  <si>
    <t>DCTR-16</t>
  </si>
  <si>
    <t>DCTR-17</t>
  </si>
  <si>
    <t>DCTR-18</t>
  </si>
  <si>
    <t>DCTR-19</t>
  </si>
  <si>
    <t>DRPL-01</t>
  </si>
  <si>
    <t>DRPL-02</t>
  </si>
  <si>
    <t>DRPL-03</t>
  </si>
  <si>
    <t>DRPL-04</t>
  </si>
  <si>
    <t>DRPL-05</t>
  </si>
  <si>
    <t>DRPL-06</t>
  </si>
  <si>
    <t>DRPL-07</t>
  </si>
  <si>
    <t>DRPL-08</t>
  </si>
  <si>
    <t>DRPL-09</t>
  </si>
  <si>
    <t>DRPL-10</t>
  </si>
  <si>
    <t>DRPL-11</t>
  </si>
  <si>
    <t>DRPL-12</t>
  </si>
  <si>
    <t>DRPL-13</t>
  </si>
  <si>
    <t>DRPL-14</t>
  </si>
  <si>
    <t>FIDP-01</t>
  </si>
  <si>
    <t>FIDP-02</t>
  </si>
  <si>
    <t>FIDP-03</t>
  </si>
  <si>
    <t>FIDP-04</t>
  </si>
  <si>
    <t>FIDP-05</t>
  </si>
  <si>
    <t>FIDP-06</t>
  </si>
  <si>
    <t>FIDP-07</t>
  </si>
  <si>
    <t>FIDP-08</t>
  </si>
  <si>
    <t>FIDP-09</t>
  </si>
  <si>
    <t>FIDP-10</t>
  </si>
  <si>
    <t>FIDP-11</t>
  </si>
  <si>
    <t>FIDP-12</t>
  </si>
  <si>
    <t>MAPP-01</t>
  </si>
  <si>
    <t>MAPP-02</t>
  </si>
  <si>
    <t>MAPP-03</t>
  </si>
  <si>
    <t>MAPP-04</t>
  </si>
  <si>
    <t>MAPP-05</t>
  </si>
  <si>
    <t>MAPP-06</t>
  </si>
  <si>
    <t>MAPP-07</t>
  </si>
  <si>
    <t>MAPP-08</t>
  </si>
  <si>
    <t>MAPP-09</t>
  </si>
  <si>
    <t>MAPP-10</t>
  </si>
  <si>
    <t>PHYS-01</t>
  </si>
  <si>
    <t>PHYS-02</t>
  </si>
  <si>
    <t>PHYS-03</t>
  </si>
  <si>
    <t>PHYS-04</t>
  </si>
  <si>
    <t>PHYS-05</t>
  </si>
  <si>
    <t>PHYS-06</t>
  </si>
  <si>
    <t>PPPR-01</t>
  </si>
  <si>
    <t>PPPR-02</t>
  </si>
  <si>
    <t>PPPR-03</t>
  </si>
  <si>
    <t>PPPR-04</t>
  </si>
  <si>
    <t>PPPR-05</t>
  </si>
  <si>
    <t>PPPR-06</t>
  </si>
  <si>
    <t>PPPR-07</t>
  </si>
  <si>
    <t>PPPR-08</t>
  </si>
  <si>
    <t>PPPR-09</t>
  </si>
  <si>
    <t>PPPR-10</t>
  </si>
  <si>
    <t>PPPR-11</t>
  </si>
  <si>
    <t>PPPR-12</t>
  </si>
  <si>
    <t>PPPR-13</t>
  </si>
  <si>
    <t>PPPR-14</t>
  </si>
  <si>
    <t>PPPR-15</t>
  </si>
  <si>
    <t>PPPR-16</t>
  </si>
  <si>
    <t>PPPR-17</t>
  </si>
  <si>
    <t>PPPR-18</t>
  </si>
  <si>
    <t>PPPR-19</t>
  </si>
  <si>
    <t>PPPR-20</t>
  </si>
  <si>
    <t>PPPR-21</t>
  </si>
  <si>
    <t>PPPR-22</t>
  </si>
  <si>
    <t>PPPR-23</t>
  </si>
  <si>
    <t>PROD-01</t>
  </si>
  <si>
    <t>PROD-02</t>
  </si>
  <si>
    <t>QLAS-01</t>
  </si>
  <si>
    <t>QLAS-02</t>
  </si>
  <si>
    <t>QLAS-03</t>
  </si>
  <si>
    <t>QLAS-04</t>
  </si>
  <si>
    <t>QLAS-05</t>
  </si>
  <si>
    <t>SYST-01</t>
  </si>
  <si>
    <t>SYST-02</t>
  </si>
  <si>
    <t>SYST-03</t>
  </si>
  <si>
    <t>SYST-04</t>
  </si>
  <si>
    <t>VULN-01</t>
  </si>
  <si>
    <t>VULN-02</t>
  </si>
  <si>
    <t>VULN-03</t>
  </si>
  <si>
    <t>VULN-04</t>
  </si>
  <si>
    <t>VULN-05</t>
  </si>
  <si>
    <t>VULN-06</t>
  </si>
  <si>
    <t>VULN-07</t>
  </si>
  <si>
    <t>VULN-08</t>
  </si>
  <si>
    <t>VULN-09</t>
  </si>
  <si>
    <t>HIPA-01</t>
  </si>
  <si>
    <t>HIPA-02</t>
  </si>
  <si>
    <t>HIPA-03</t>
  </si>
  <si>
    <t>HIPA-04</t>
  </si>
  <si>
    <t>HIPA-05</t>
  </si>
  <si>
    <t>HIPA-06</t>
  </si>
  <si>
    <t>HIPA-07</t>
  </si>
  <si>
    <t>HIPA-08</t>
  </si>
  <si>
    <t>HIPA-09</t>
  </si>
  <si>
    <t>HIPA-10</t>
  </si>
  <si>
    <t>HIPA-11</t>
  </si>
  <si>
    <t>HIPA-12</t>
  </si>
  <si>
    <t>HIPA-13</t>
  </si>
  <si>
    <t>HIPA-14</t>
  </si>
  <si>
    <t>HIPA-15</t>
  </si>
  <si>
    <t>HIPA-16</t>
  </si>
  <si>
    <t>HIPA-17</t>
  </si>
  <si>
    <t>HIPA-18</t>
  </si>
  <si>
    <t>HIPA-19</t>
  </si>
  <si>
    <t>HIPA-20</t>
  </si>
  <si>
    <t>HIPA-21</t>
  </si>
  <si>
    <t>HIPA-22</t>
  </si>
  <si>
    <t>HIPA-23</t>
  </si>
  <si>
    <t>HIPA-24</t>
  </si>
  <si>
    <t>HIPA-25</t>
  </si>
  <si>
    <t>HIPA-26</t>
  </si>
  <si>
    <t>HIPA-27</t>
  </si>
  <si>
    <t>HIPA-28</t>
  </si>
  <si>
    <t>HIPA-29</t>
  </si>
  <si>
    <t>HIPA-30</t>
  </si>
  <si>
    <t>HIPA-31</t>
  </si>
  <si>
    <t>HIPA-32</t>
  </si>
  <si>
    <t>PCID-01</t>
  </si>
  <si>
    <t>PCID-02</t>
  </si>
  <si>
    <t>PCID-03</t>
  </si>
  <si>
    <t>PCID-04</t>
  </si>
  <si>
    <t>PCID-05</t>
  </si>
  <si>
    <t>PCID-06</t>
  </si>
  <si>
    <t>PCID-07</t>
  </si>
  <si>
    <t>PCID-08</t>
  </si>
  <si>
    <t>PCID-09</t>
  </si>
  <si>
    <t>PCID-10</t>
  </si>
  <si>
    <t>PCID-11</t>
  </si>
  <si>
    <t>PCID-12</t>
  </si>
  <si>
    <t>DATE-01</t>
  </si>
  <si>
    <t>v0.91</t>
  </si>
  <si>
    <t>DATA-30</t>
  </si>
  <si>
    <t>v0.92</t>
  </si>
  <si>
    <t>THRD-04</t>
  </si>
  <si>
    <t>COMP-07</t>
  </si>
  <si>
    <t>Use this area to share information about your environment that will assist those who are evaluating you company data security safeguards.</t>
  </si>
  <si>
    <t>GNRL-01</t>
  </si>
  <si>
    <t>GNRL-02</t>
  </si>
  <si>
    <t>GNRL-03</t>
  </si>
  <si>
    <t>GNRL-04</t>
  </si>
  <si>
    <t>GNRL-05</t>
  </si>
  <si>
    <t>GNRL-06</t>
  </si>
  <si>
    <t>GNRL-07</t>
  </si>
  <si>
    <t>GNRL-08</t>
  </si>
  <si>
    <t>GNRL-09</t>
  </si>
  <si>
    <t>GNRL-10</t>
  </si>
  <si>
    <t>GNRL-11</t>
  </si>
  <si>
    <t>GNRL-12</t>
  </si>
  <si>
    <t>GNRL-13</t>
  </si>
  <si>
    <t>GNRL-14</t>
  </si>
  <si>
    <t>GNRL-15</t>
  </si>
  <si>
    <t>GNRL-16</t>
  </si>
  <si>
    <t>Describe or provide references to your third party management strategy or provide additional information that may help analysts better understand your environment and how it relates to third-party solutions.</t>
  </si>
  <si>
    <t>Do you conform with a specific industry standard security framework? (e.g. NIST Special Publication 800-53, ISO 27001, etc.)</t>
  </si>
  <si>
    <t xml:space="preserve">Describe or provide a reference to how user security administration is performed? </t>
  </si>
  <si>
    <t xml:space="preserve">Describe or provide a reference to additional software/products necessary to implement a functional system on either the backend or user-interface side of the system. </t>
  </si>
  <si>
    <t xml:space="preserve">Describe or provide a reference to the overall system and/or application architecture(s), including appropriate diagrams. Include a full description of the data communications architecture for all components of the system. </t>
  </si>
  <si>
    <t xml:space="preserve">Describe or provide a reference to all web-enabled features and functionality of the system (i.e. accessed via a web-based interface). </t>
  </si>
  <si>
    <t>Describe or provide a reference to any OS and/or web-browser combinations that are not currently supported.</t>
  </si>
  <si>
    <t>Describe or provide a reference to the facilities available in the system to provide separation of duties between security administration and system administration functions.</t>
  </si>
  <si>
    <t>Describe or provide a reference to the algorithm/strategy that is used to encrypt stored passwords/passphrases?</t>
  </si>
  <si>
    <t>Describe or provide a reference to the retention period for those logs, how logs are protected, and whether they are accessible to the customer (and if so, how).</t>
  </si>
  <si>
    <t>Describe or provide a reference to your release schedule for product updates.</t>
  </si>
  <si>
    <t>Describe or provide a reference to your technology roadmap, for the next 2 years, for enhancements and bug fixes for the product/service being assessed.</t>
  </si>
  <si>
    <t>Describe or provide a reference to your expectation of client involvement with product updates?</t>
  </si>
  <si>
    <t>Describe or provide a reference to the encryption technology and strategy you employ for transmitting sensitive information over TCP/IP networks  (e.g., SSH, SSL/TLS, VPN).</t>
  </si>
  <si>
    <t xml:space="preserve">Describe or provide a reference to the backup processes for the servers on which the service and/or data resides. </t>
  </si>
  <si>
    <t>Describe or provide a reference to your cryptographic key management process (generation, exchange, storage, safeguards, use, vetting, and replacement) of all system components (e.g. database, system, web, etc.).</t>
  </si>
  <si>
    <t>Describe or provide a reference to any other safeguards used to monitor for attacks?</t>
  </si>
  <si>
    <t>Describe testing processes that are established and followed (e.g., development of test plans, personnel involved in the testing process, and authorized individual accountable for approval and certification of test results)?</t>
  </si>
  <si>
    <t>Describe or provide a reference to your system development life cycle methodology including your environments, version control, and change management (if not already covered in the Change Management section).</t>
  </si>
  <si>
    <t>Describe or provide a reference to the tool(s) used to scan for vulnerabilities in your applications and systems.</t>
  </si>
  <si>
    <t>Describe or provide a reference to how you monitor for and protect against common web application security vulnerabilities (e.g. SQL injection, XSS, XSRF, etc.).</t>
  </si>
  <si>
    <t>Provide a brief summary of how critical patches are applied to all systems and applications.</t>
  </si>
  <si>
    <t>Describe or provide a reference to how security risks are mitigated until patches can be applied.</t>
  </si>
  <si>
    <t>Describe or provide a reference to your solution support strategy in relation to maintaining software currency. (i.e. how many concurrent versions are you willing to run and support?)</t>
  </si>
  <si>
    <t>v0.93</t>
  </si>
  <si>
    <t>Do you employ or allow any cryptographic modules that do not conform to the Federal Information Processing Standards (FIPS PUB 140-2)?</t>
  </si>
  <si>
    <t>Target Audience</t>
  </si>
  <si>
    <t>Document Layout</t>
  </si>
  <si>
    <t>Safeguards</t>
  </si>
  <si>
    <r>
      <t xml:space="preserve">Populate this section </t>
    </r>
    <r>
      <rPr>
        <b/>
        <sz val="11"/>
        <color indexed="8"/>
        <rFont val="Verdana"/>
      </rPr>
      <t>completely</t>
    </r>
    <r>
      <rPr>
        <sz val="11"/>
        <color indexed="8"/>
        <rFont val="Verdana"/>
      </rPr>
      <t xml:space="preserve"> before continuing. Answers in this section can determine which sections will be required for this assessment. By answering "No" to Qualifiers, their matched sections become optional and are highlighted in orange.</t>
    </r>
  </si>
  <si>
    <t>This section is focused on company background, size, and business area experience.</t>
  </si>
  <si>
    <t>The remainder of the document consists of various safeguards grouped generally by section.</t>
  </si>
  <si>
    <t xml:space="preserve">Figure 1: </t>
  </si>
  <si>
    <t xml:space="preserve">Figure 2: </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</si>
  <si>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</si>
  <si>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</si>
  <si>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</si>
  <si>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v0.94</t>
  </si>
  <si>
    <t>Added Instructions tab, adjusted question ID background color, updated DRP/BCP copy error.</t>
  </si>
  <si>
    <t>Higher Education Cloud Vendor Assessment Tool Instructions</t>
  </si>
  <si>
    <t>There are five main sections of the Higher Education Cloud Vendor Assessment Tool,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will ensure that questions are not answered unnecessarily.</t>
  </si>
  <si>
    <t>Higher Education Cloud Vendor Assessment Tool</t>
  </si>
  <si>
    <t>v0.95</t>
  </si>
  <si>
    <t>Changed document title to HECVAT. Integrated KDH input.</t>
  </si>
  <si>
    <t>Is the service hosted in a high availability environment?</t>
  </si>
  <si>
    <t>Has the consultant received training on [sensitive, HIPAA, PCI, etc.] data handling?</t>
  </si>
  <si>
    <t>Describe, if applicable, your support for client customizations from one release to another.</t>
  </si>
  <si>
    <t>Proceed to the next tab, Cloud Vendor Assessment Tool, to begin.</t>
  </si>
  <si>
    <t>v0.96</t>
  </si>
  <si>
    <t>Product Name and Version Information</t>
  </si>
  <si>
    <t>Please include a brief description of the product</t>
  </si>
  <si>
    <t>Does your organization have a data privacy policy?</t>
  </si>
  <si>
    <t>How many higher education, commercial customers and government customers do you serve in North America? Please provide a higher education customer reference if available.</t>
  </si>
  <si>
    <t>Will any data be transferred to the consultant's possession?</t>
  </si>
  <si>
    <t>How long will it remain in their possession?</t>
  </si>
  <si>
    <t>Is it encrypted (at rest) while in the consultant's possession?</t>
  </si>
  <si>
    <t>Describe or provide a reference to the types of authentication, including standards-based single-sign-on (SSO, InCommon), that are supported by the web-based interface?</t>
  </si>
  <si>
    <t>Is sensitive data encrypted in transport?</t>
  </si>
  <si>
    <t>Is sensitive data encrypted in storage (e.g. disk encryption, at-rest)?</t>
  </si>
  <si>
    <t>Summarize the encryption algorithm/strategy you are using to secure the backups.</t>
  </si>
  <si>
    <t>DATA-31</t>
  </si>
  <si>
    <t>Do you carry cyber-risk insurance to protect against unforeseen service outages, data that is lost or stolen, and security incidents?</t>
  </si>
  <si>
    <t>Are audit logs available for all changes to the network, firewall, IDS, and/or IPS?</t>
  </si>
  <si>
    <t>Do you perform background screenings or multi-state background checks on all employees prior to their first day of work?</t>
  </si>
  <si>
    <t>Have you entered into a BAA with all subcontractors who may have access to protected health information (PHI)?</t>
  </si>
  <si>
    <t>v0.97</t>
  </si>
  <si>
    <t>Updated Sharing Read Me tab with final language and options table.</t>
  </si>
  <si>
    <t>Added input from NL, 36 modifications across all sections.</t>
  </si>
  <si>
    <t xml:space="preserve">Merged initial comments and suggestions of sub-group members. </t>
  </si>
  <si>
    <t>Added SOC2T2 question to datacenter section.</t>
  </si>
  <si>
    <t>Added Systems and Configuration Management section, added MDM, sep. management networks, system configuration images, Internal audit processes and procedures.</t>
  </si>
  <si>
    <t>Added input from WG meeting on 8/22, removed RiskMgmt section, added question ID's, and removed dup network question.</t>
  </si>
  <si>
    <t>Added Introduction, Sharing Read Me, and Acknowledgements tabs and content. Also updated report specifics in Documentation.</t>
  </si>
  <si>
    <t>Integrated grammatical corrections set by Karl, fixed a minor formula error in a guidance cell.</t>
  </si>
  <si>
    <t>Higher Education Shared Assessments Confirmation</t>
  </si>
  <si>
    <t>HESA-01</t>
  </si>
  <si>
    <t>HESA-02</t>
  </si>
  <si>
    <t>SharedAssessmentsConfirmation</t>
  </si>
  <si>
    <t>Yes; OK to Share</t>
  </si>
  <si>
    <t>No; Sharing Disallowed</t>
  </si>
  <si>
    <t>SharedAssessmentListingConfirmation</t>
  </si>
  <si>
    <t>Yes; OK to List</t>
  </si>
  <si>
    <t>No; Listing Disallowed</t>
  </si>
  <si>
    <t>HESA-03</t>
  </si>
  <si>
    <t>Scope: Higher Education Institutions Only</t>
  </si>
  <si>
    <t>I understand the goal of Higher Education Shared Assessments and that the completed Higher Education Cloud Vendor Assessment Tool may be shared with other higher education institutions, based on the following selections.</t>
  </si>
  <si>
    <t>HESA-04</t>
  </si>
  <si>
    <t>Add this completed assessment to a list of Higher Education assessed service providers, with contact information for service providers. No answers are shared; it is a list stating vendor, product, version, and service provider contact information.</t>
  </si>
  <si>
    <t>The security report created by this Higher Education institution, after evaluating this assessment, can be shared within Higher Education institutions.</t>
  </si>
  <si>
    <t>Answers to the statements in this section will determine how this assessment may be shared within the Higher Education community. Refer to the Sharing Read Me tab for further details.</t>
  </si>
  <si>
    <t>What was the date of your systems last external assessment? (mm/dd/yyyy)</t>
  </si>
  <si>
    <t>v0.98</t>
  </si>
  <si>
    <t>v1.00</t>
  </si>
  <si>
    <t>v1.01</t>
  </si>
  <si>
    <t>Corrections for grammar, conditional formatting, and question clarification.</t>
  </si>
  <si>
    <t>If outsourced or co-located, is there a contract in place to prevent data from leaving the United States?</t>
  </si>
  <si>
    <t>UptimeTiers</t>
  </si>
  <si>
    <t>Tier I</t>
  </si>
  <si>
    <t>Tier II</t>
  </si>
  <si>
    <t>Tier III</t>
  </si>
  <si>
    <t>Tier IV</t>
  </si>
  <si>
    <t>v1.02</t>
  </si>
  <si>
    <t>Describe or provide references explaining how tertiary services are redundant (i.e. DNS, ISP, etc…).</t>
  </si>
  <si>
    <t>Are databases used in the system segregated from front-end systems? (e.g. web and application servers)</t>
  </si>
  <si>
    <t>Describe or provide a reference that details how administrator access is handled (e.g. provisioning, principle of least privilege, deprovisioning, etc.)</t>
  </si>
  <si>
    <t>Describe or provide a reference to the system capability to log security/authorization changes as well as user and administrator security (physical or electronic) events (e.g., login failures, access denied, changes accepted), and all requirements necessary to implement logging and monitoring on the system. Include information about SIEM/log collector usage.</t>
  </si>
  <si>
    <t>Indicate all procedures that are implemented in your CMP. a.) An impact analysis of the upgrade is performed.  b.) The change is appropriately authorized. c.) Changes are made first in a test environment. d.) The ability to implement the upgrades/changes in the production environment is limited to appropriate IT personnel.</t>
  </si>
  <si>
    <t>Does the hosting provider have a SOC 2 Type 2 report available?</t>
  </si>
  <si>
    <t>Describe or provide a reference to how your disaster recovery plan is tested? (i.e. scope of DR tests, end-to-end testing, etc.)</t>
  </si>
  <si>
    <t>State and describe who has the authority to change firewall rules?</t>
  </si>
  <si>
    <t>Do you have a documented policy for firewall change requests?</t>
  </si>
  <si>
    <t>Describe or provide a reference to the application's architecture and functionality.</t>
  </si>
  <si>
    <t>Does your application support varying levels of access to administrative tasks defined individually per user?</t>
  </si>
  <si>
    <t>v1.03</t>
  </si>
  <si>
    <t>Grammar and spelling cleanup.</t>
  </si>
  <si>
    <t>Sharing Confirmation section added, updated instructions, updated Sharing Read Me tab, fixed a ton of conditional formatting issues.</t>
  </si>
  <si>
    <t>Finalized for distribution.</t>
  </si>
  <si>
    <t>Added tertiary services narrative question (DNS, ISP, etc…).</t>
  </si>
  <si>
    <t>Institution Department</t>
  </si>
  <si>
    <t>Institution Department Primary Campus</t>
  </si>
  <si>
    <t>Institution Department Code</t>
  </si>
  <si>
    <t>Institution Department Contact Name</t>
  </si>
  <si>
    <t>Institution Department Contact Email</t>
  </si>
  <si>
    <t>Institution Department Contact Phone Number</t>
  </si>
  <si>
    <t>Institution Department Name</t>
  </si>
  <si>
    <t>Institution Security Analyst/Engineer Name</t>
  </si>
  <si>
    <t>Institution Security Analyst/Engineer</t>
  </si>
  <si>
    <r>
      <t xml:space="preserve">Will institution data be shared with or hosted by any third parties? </t>
    </r>
    <r>
      <rPr>
        <sz val="11"/>
        <color theme="1"/>
        <rFont val="Verdana"/>
      </rPr>
      <t>(e.g. any entity not wholly-owned by your company is considered a third-party)</t>
    </r>
  </si>
  <si>
    <t>Is your company a consulting firm providing only consultation to the Institution?</t>
  </si>
  <si>
    <t>Provide a brief description for why each of these third parties will have access to institution data.</t>
  </si>
  <si>
    <t>Are the servers hosting institution data currently deployed in a virtualized environment?</t>
  </si>
  <si>
    <t>Define what controls are in place to secure their remote environment and connection to the institution's data.</t>
  </si>
  <si>
    <t>Have you or any third party you contract with that may have access or allow access to the institution's data experienced a breach?</t>
  </si>
  <si>
    <t>Can you enforce password/passphrase complexity requirements [provided by the institution]?</t>
  </si>
  <si>
    <r>
      <t xml:space="preserve">Does your </t>
    </r>
    <r>
      <rPr>
        <i/>
        <sz val="11"/>
        <color theme="1"/>
        <rFont val="Verdana"/>
      </rPr>
      <t xml:space="preserve">application </t>
    </r>
    <r>
      <rPr>
        <sz val="11"/>
        <color theme="1"/>
        <rFont val="Verdana"/>
      </rPr>
      <t>support integration with other authentication and authorization systems such as Active Directory, Kerberos (what version) or another institution centralized authorization service?</t>
    </r>
  </si>
  <si>
    <t>Will any external authentication or authorization system be utilized by an application with access to the institution's data?</t>
  </si>
  <si>
    <t>Will any external authentication or authorization system be utilized by a system with access to institution data?</t>
  </si>
  <si>
    <t xml:space="preserve">Describe or provide a reference to how institution data is physically and logically separated from that of other customers. </t>
  </si>
  <si>
    <t>List all locations (i.e. city + datacenter name) where the institution's data will be stored?</t>
  </si>
  <si>
    <t>At the completion of this contract, will data be returned to the institution?</t>
  </si>
  <si>
    <t>How will data be returned to the institution and in what format?</t>
  </si>
  <si>
    <t>How long will the institution's data be available within the system at the completion of this contract?</t>
  </si>
  <si>
    <t>Can the institution extract a full backup of data?</t>
  </si>
  <si>
    <t>Do backups containing the institution's data ever leave the United States of America either physically or via network routing?</t>
  </si>
  <si>
    <t>Is any institution data visible in system administration modules/tools?</t>
  </si>
  <si>
    <t>Will any institution data leave the United States?</t>
  </si>
  <si>
    <t xml:space="preserve">List all datacenters and their cities, states (provinces), and countries where the institution's data will be stored (including within the United States).   </t>
  </si>
  <si>
    <t xml:space="preserve">Is redundant power available for all datacenters where institution data will reside? </t>
  </si>
  <si>
    <t>Describe or provide a reference to the availability of cooling and fire suppression systems in all datacenters where institution data will reside.</t>
  </si>
  <si>
    <t>Describe or provide a reference to physical safeguards that are placed on facilities housing the institution's data (e.g., video monitoring, restricted access areas, man traps, card access controls, etc.)?</t>
  </si>
  <si>
    <t>Can you provide an evaluation site to the institution for testing?</t>
  </si>
  <si>
    <t>Have you supplied products and/or services to the Institution (or its Campuses) in the last five years?</t>
  </si>
  <si>
    <t>Will you allow the institution to perform its own security testing of your systems and/or application provided that testing is performed at a mutually agreed upon time and date?</t>
  </si>
  <si>
    <t>If the application is institution-hosted, can all service level and administrative account passwords be changed by the institution?</t>
  </si>
  <si>
    <r>
      <rPr>
        <b/>
        <sz val="12"/>
        <color theme="1"/>
        <rFont val="Verdana"/>
      </rPr>
      <t xml:space="preserve">Step 1: </t>
    </r>
    <r>
      <rPr>
        <sz val="12"/>
        <color theme="1"/>
        <rFont val="Verdana"/>
      </rPr>
      <t xml:space="preserve">Complete the </t>
    </r>
    <r>
      <rPr>
        <i/>
        <sz val="12"/>
        <color theme="1"/>
        <rFont val="Verdana"/>
      </rPr>
      <t>Qualifiers</t>
    </r>
    <r>
      <rPr>
        <sz val="12"/>
        <color theme="1"/>
        <rFont val="Verdana"/>
      </rPr>
      <t xml:space="preserve"> section first. </t>
    </r>
    <r>
      <rPr>
        <b/>
        <sz val="12"/>
        <color theme="1"/>
        <rFont val="Verdana"/>
      </rPr>
      <t xml:space="preserve">Step 2: </t>
    </r>
    <r>
      <rPr>
        <sz val="12"/>
        <color theme="1"/>
        <rFont val="Verdana"/>
      </rPr>
      <t xml:space="preserve">Complete each section answering each set of questions in order from top to bottom; the built-in formatting logic relies on this order. </t>
    </r>
    <r>
      <rPr>
        <b/>
        <sz val="12"/>
        <color theme="1"/>
        <rFont val="Verdana"/>
      </rPr>
      <t xml:space="preserve">Step 3: </t>
    </r>
    <r>
      <rPr>
        <sz val="12"/>
        <color theme="1"/>
        <rFont val="Verdana"/>
      </rPr>
      <t>Submit the completed Higher Education Cloud Vendor Assessment Tool (HECVAT) to the Institution according to institutional procedures.</t>
    </r>
  </si>
  <si>
    <r>
      <t xml:space="preserve">The Institution conducts Third Party Security Assessments on a variety of third parties. As such, not all assessment questions are relevant to each party. To alleviate complexity, a "qualifier" strategy is implemented and allows for various parties to utilize this common documentation instrument. </t>
    </r>
    <r>
      <rPr>
        <b/>
        <sz val="12"/>
        <color theme="1"/>
        <rFont val="Verdana"/>
      </rPr>
      <t>Responses to the following questions will determine the need to answer additional questions below</t>
    </r>
    <r>
      <rPr>
        <sz val="12"/>
        <color theme="1"/>
        <rFont val="Verdana"/>
      </rPr>
      <t xml:space="preserve">. </t>
    </r>
  </si>
  <si>
    <t>v1.04</t>
  </si>
  <si>
    <t>Minor layout change in preparation for HECVAT-Lite split</t>
  </si>
  <si>
    <t>v1.05</t>
  </si>
  <si>
    <t>Changed University mentions to Institution; final version before SPC 2017</t>
  </si>
  <si>
    <r>
      <t xml:space="preserve">By completing the Higher Education Cloud Vendor Assessment Tool, cloud service providers understand that the completed assessment may be shared among higher education institutions. </t>
    </r>
    <r>
      <rPr>
        <b/>
        <sz val="12"/>
        <color theme="1"/>
        <rFont val="Verdana"/>
      </rPr>
      <t>Answers to the following statements will determine how this assessment may be shared within the Higher Education community</t>
    </r>
    <r>
      <rPr>
        <sz val="12"/>
        <color theme="1"/>
        <rFont val="Verdana"/>
      </rPr>
      <t>. Shared assessment sharing details can be found on the "Sharing Read Me" tab.</t>
    </r>
  </si>
  <si>
    <t>These instructions are for vendors interested in providing the Institution with a software and/or a service. This worksheet should not be completed by a Institution entity. The purpose of this worksheet is for the vendor to submit robust security safeguard information in regards to the product (software/service) being assessed in the Institution's assessment process.</t>
  </si>
  <si>
    <r>
      <t xml:space="preserve">This section is self-explanatory; product specifics and contact information. GNRL-01 through GNRL-06 should be populated by an institution entity. </t>
    </r>
    <r>
      <rPr>
        <b/>
        <sz val="11"/>
        <color indexed="8"/>
        <rFont val="Verdana"/>
      </rPr>
      <t>GNRL-07 through GNRL-14 should be populated by the Vendor</t>
    </r>
    <r>
      <rPr>
        <sz val="11"/>
        <color indexed="8"/>
        <rFont val="Verdana"/>
      </rPr>
      <t>. GNRL-15 and GNRL-16 are for Institution use only.</t>
    </r>
  </si>
  <si>
    <t>Focused on external documentation, the Institution is interested in the frameworks that lead your security strategy and what has been done to certify these implementations.</t>
  </si>
  <si>
    <r>
      <t xml:space="preserve">Does the vended product host/support a mobile application? </t>
    </r>
    <r>
      <rPr>
        <sz val="11"/>
        <color theme="1"/>
        <rFont val="Verdana"/>
      </rPr>
      <t>(e.g. app)</t>
    </r>
  </si>
  <si>
    <t>Describe the structure and size of your Security Office and overall information security staff. (e.g. Admin, Engineering, QA/Compliance, etc.)</t>
  </si>
  <si>
    <t>Describe the structure and size of your Software and System Development teams.  (e.g. Customer Support, Implementation, Product Management, etc.)</t>
  </si>
  <si>
    <t>Will the consultant require access to Institution's network resources?</t>
  </si>
  <si>
    <t>Will the consultant require access to hardware in the Institution's data centers?</t>
  </si>
  <si>
    <t>Will the consultant require an account within the Institution's domain (@*.edu)?</t>
  </si>
  <si>
    <t>Will the consultant need remote access to the Institution's network or systems?</t>
  </si>
  <si>
    <t>APPL-03</t>
  </si>
  <si>
    <t>APPL-15</t>
  </si>
  <si>
    <t>Do you allow employees to remotely access data (i.e. work from home)?</t>
  </si>
  <si>
    <t>Do you employ a single-tenant or multi-tenant strategy in the environment hosting Institution's data?</t>
  </si>
  <si>
    <t>Are audit logs available that include AT LEAST all of the following; login, logout, actions performed, and source IP address?</t>
  </si>
  <si>
    <t>If possible, can the Institution review your BCP and supporting documentation?</t>
  </si>
  <si>
    <t>Describe or provide a reference to your Business Continuity Plan (BCP).</t>
  </si>
  <si>
    <t xml:space="preserve">Are all components of the BCP reviewed at least annually and updated as needed to reflect change? </t>
  </si>
  <si>
    <t>Indicate the last time that the BCP was tested and provide a summary of the results.</t>
  </si>
  <si>
    <t xml:space="preserve">How and when will the Institution be notified of major changes to your environment that could impact the Institution's security posture? </t>
  </si>
  <si>
    <t xml:space="preserve">Describe the highest level of data classification that will be managed within your system(s) and/or application(s). </t>
  </si>
  <si>
    <t>Will Institution's data be stored on any devices (database servers, file servers, SAN, NAS, …) configured with non-RFC 1918/4193 (i.e. publicly routable) IP addresses?</t>
  </si>
  <si>
    <t>Are ownership rights to all data, inputs, outputs, and metadata retained by the Institution?</t>
  </si>
  <si>
    <t>Are data backups encrypted?</t>
  </si>
  <si>
    <t>Do current backups include all operating system software, utilities, security software, application software, and data files necessary for recovery?</t>
  </si>
  <si>
    <t>Are physical backups taken off site? (i.e. physically moved off site)</t>
  </si>
  <si>
    <t>Describe or provide a reference to your media handing process, that is documented and currently implemented, including end-of-life, repurposing, and data sanitization procedures.</t>
  </si>
  <si>
    <t>Does your company own the physical data center where the Institution's data will reside?</t>
  </si>
  <si>
    <t>Are the data centers staffed 24 hours a day, seven days a week (i.e 24x7x365)?</t>
  </si>
  <si>
    <t xml:space="preserve">State how many Internet Service Providers (ISPs) provide connectivity to each datacenter where the institution's data will reside. </t>
  </si>
  <si>
    <t>Does every datacenter where the Institution's data will reside have multiple telephone company or network provider entrances to the facility?</t>
  </si>
  <si>
    <t>Describe or provide a reference to your Disaster Recovery Plan (DRP).</t>
  </si>
  <si>
    <t>Is an owner assigned who is responsible for the maintenance and review of the DRP?</t>
  </si>
  <si>
    <t>If possible, can the Institution review your DRP and supporting documentation?</t>
  </si>
  <si>
    <t xml:space="preserve">Are all components of the DRP reviewed at least annually and updated as needed to reflect change? </t>
  </si>
  <si>
    <t>Is Institution data encrypted in transport?</t>
  </si>
  <si>
    <t>Is Institution data encrypted in storage? (e.g. disk encryption, at-rest)</t>
  </si>
  <si>
    <t>Will any of these systems be implemented on systems hosting the Institution's data?</t>
  </si>
  <si>
    <t>MAPP-11</t>
  </si>
  <si>
    <t>Are employees allowed to take home Institution's data in any form?</t>
  </si>
  <si>
    <t>Will you comply with the Institution's IT policies with regards to user privacy and data protection?</t>
  </si>
  <si>
    <t>Describe or provide a reference to your internal audit processes and procedures.</t>
  </si>
  <si>
    <t>Do you have an implemented system configuration management process? (e.g. secure "gold" images, etc.)</t>
  </si>
  <si>
    <t>Will you provide results of security scans to the Institution (if requested)?</t>
  </si>
  <si>
    <t>Indicate the priority of service restoration for services utilized by the Institution compared to other applications/services the vendor provides.</t>
  </si>
  <si>
    <t>Do you currently use encryption in your database(s)?</t>
  </si>
  <si>
    <t>What operating system(s) is/are leveraged by the system(s)/application(s) that will have access to institution's data?</t>
  </si>
  <si>
    <t>Version beta1.06b</t>
  </si>
  <si>
    <t>GNRL-01 through GNRL-06; populated by Institution</t>
  </si>
  <si>
    <t>GNRL-07 through GNRL-14; populated by Vendor</t>
  </si>
  <si>
    <t>GNRL-15 and GNRL-16; populated by Institution Security Office</t>
  </si>
  <si>
    <r>
      <t xml:space="preserve">In order to protect the Institution and its systems, vendors whose products and/or services will access and/or host institutional data must complete the Higher Education Cloud Vendor Assessment Tool (HECVAT).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 Review the </t>
    </r>
    <r>
      <rPr>
        <i/>
        <sz val="12"/>
        <color theme="1"/>
        <rFont val="Verdana"/>
      </rPr>
      <t>Instructions</t>
    </r>
    <r>
      <rPr>
        <sz val="12"/>
        <color theme="1"/>
        <rFont val="Verdana"/>
      </rPr>
      <t xml:space="preserve"> tab for further guidance.</t>
    </r>
  </si>
  <si>
    <t>Higher Education Cloud Vendor Assessment Tool - Standards Crosswalk</t>
  </si>
  <si>
    <t>CIS Critical Security Controls v6.1</t>
  </si>
  <si>
    <t>HIPAA</t>
  </si>
  <si>
    <t>NIST SP 800-53r4</t>
  </si>
  <si>
    <t>NIST SP 800-171r1</t>
  </si>
  <si>
    <t>NIST Cybersecurity Framework</t>
  </si>
  <si>
    <t>Does the vended product host/support a mobile application? (e.g. app)</t>
  </si>
  <si>
    <t>Will institution data be shared with or hosted by any third parties? (e.g. any entity not wholly-owned by your company is considered a third-party)</t>
  </si>
  <si>
    <t>CSC 13</t>
  </si>
  <si>
    <t>CSC 18</t>
  </si>
  <si>
    <t>CSC 10</t>
  </si>
  <si>
    <t>CSC 14</t>
  </si>
  <si>
    <t>CSC18</t>
  </si>
  <si>
    <t>CSC16</t>
  </si>
  <si>
    <t>CSC 12</t>
  </si>
  <si>
    <t>CSC 2</t>
  </si>
  <si>
    <t>CSC 7</t>
  </si>
  <si>
    <t>CSC 5</t>
  </si>
  <si>
    <t>CSC 16</t>
  </si>
  <si>
    <t>CSC 2, CSC 3</t>
  </si>
  <si>
    <t>CSC 6</t>
  </si>
  <si>
    <t>CSC 1</t>
  </si>
  <si>
    <t>CAC 13</t>
  </si>
  <si>
    <t>CSC 13, CSC 14</t>
  </si>
  <si>
    <t>CSC 3</t>
  </si>
  <si>
    <t>CSC 9</t>
  </si>
  <si>
    <t>CSC 3, CSC 14</t>
  </si>
  <si>
    <t>CSC 10, CSC 12</t>
  </si>
  <si>
    <t>CSC 19</t>
  </si>
  <si>
    <t>CSC 6, CSC 19</t>
  </si>
  <si>
    <t>CSC 13, CSC 18</t>
  </si>
  <si>
    <t>CSC 4</t>
  </si>
  <si>
    <t>CSC 17</t>
  </si>
  <si>
    <t>CSC 4, CSC 17</t>
  </si>
  <si>
    <t>CSC 20</t>
  </si>
  <si>
    <t>CSC 7, CSC 18</t>
  </si>
  <si>
    <t>CSC 16, 5</t>
  </si>
  <si>
    <t>CSC 6, CSC 16</t>
  </si>
  <si>
    <t>CSC 1, CSC 2</t>
  </si>
  <si>
    <t>CSC 12, CSC 13</t>
  </si>
  <si>
    <t>§164.308(a)(1)(i)</t>
  </si>
  <si>
    <t>§164.308(a)(1)(ii)(B)</t>
  </si>
  <si>
    <t>§164.308(a)(5)(i)</t>
  </si>
  <si>
    <t>§164.316(b)(2)(iii)</t>
  </si>
  <si>
    <t>§164.308(a)(2)</t>
  </si>
  <si>
    <t>§164.308(a)(6)(i)</t>
  </si>
  <si>
    <t>§164.308(a)(5)(ii)(D)</t>
  </si>
  <si>
    <t>§ 164.308(a)(1)(ii)(D)</t>
  </si>
  <si>
    <t>§164.312(b)</t>
  </si>
  <si>
    <t>§164.312(a)(2)(ii)</t>
  </si>
  <si>
    <t>§164.308(a)(7)(i)</t>
  </si>
  <si>
    <t>§164.308(b)(2)</t>
  </si>
  <si>
    <t>§164.308(a)(1)(i), §164.308(a)(1)(ii)(A)</t>
  </si>
  <si>
    <t>§164.308(a)(4), §164.312(a)(2)(ii),  
§164.312(a)(2)(iii)</t>
  </si>
  <si>
    <t>§164.308(a)(4),
§164.312(a)(2)(ii), §164.312(a)(2)(iii)</t>
  </si>
  <si>
    <t>§164.308(b)(1),
§164.308(b)(3), §164.314(a)(1)(i)</t>
  </si>
  <si>
    <t>Discovery</t>
  </si>
  <si>
    <t>18.1.1</t>
  </si>
  <si>
    <t>17.1.2</t>
  </si>
  <si>
    <t>15.2.1</t>
  </si>
  <si>
    <t>18.1.4</t>
  </si>
  <si>
    <t>15.2.2</t>
  </si>
  <si>
    <t>14.2.1</t>
  </si>
  <si>
    <t>15.1.3</t>
  </si>
  <si>
    <t>9.1.2</t>
  </si>
  <si>
    <t>9.2.6</t>
  </si>
  <si>
    <t>11.2.6</t>
  </si>
  <si>
    <t>9.2.2</t>
  </si>
  <si>
    <t>9.1.1</t>
  </si>
  <si>
    <t>12.5.1</t>
  </si>
  <si>
    <t>12.1.1</t>
  </si>
  <si>
    <t>12.1.4</t>
  </si>
  <si>
    <t>14.2.5</t>
  </si>
  <si>
    <t>9.2.3, 12.1.4</t>
  </si>
  <si>
    <t>9.4.3</t>
  </si>
  <si>
    <t>12.4</t>
  </si>
  <si>
    <t>9.2.3, 9.3.1, 9.4.3</t>
  </si>
  <si>
    <t>9.1.1, 9.2.3, 9.3.1, 9.4.3</t>
  </si>
  <si>
    <t>9</t>
  </si>
  <si>
    <t>10</t>
  </si>
  <si>
    <t>13</t>
  </si>
  <si>
    <t>17.1.1</t>
  </si>
  <si>
    <t>17.1.3</t>
  </si>
  <si>
    <t>17.2.1</t>
  </si>
  <si>
    <t>17</t>
  </si>
  <si>
    <t>7.2.2, 16.1.1, 17.1.3</t>
  </si>
  <si>
    <t>7.2.2, 17.1.3</t>
  </si>
  <si>
    <t>12.1.2</t>
  </si>
  <si>
    <t>12.6.1</t>
  </si>
  <si>
    <t>8.2.1</t>
  </si>
  <si>
    <t>10.1.1</t>
  </si>
  <si>
    <t>8.2.3, 10.1.1</t>
  </si>
  <si>
    <t>8.1.4</t>
  </si>
  <si>
    <t>12.3.1</t>
  </si>
  <si>
    <t>8.1.2</t>
  </si>
  <si>
    <t>10.1.2</t>
  </si>
  <si>
    <t>8.3.1</t>
  </si>
  <si>
    <t>13.2</t>
  </si>
  <si>
    <t>8.3.1, 18.1.1</t>
  </si>
  <si>
    <t>11.1.1</t>
  </si>
  <si>
    <t>13.1.2</t>
  </si>
  <si>
    <t>11.2.1</t>
  </si>
  <si>
    <t>11.1.4</t>
  </si>
  <si>
    <t>11.1.1, 11.1.2</t>
  </si>
  <si>
    <t>7.1.3</t>
  </si>
  <si>
    <t>16.1.1, 17.1.1</t>
  </si>
  <si>
    <t>13.1.1</t>
  </si>
  <si>
    <t>12.4.1</t>
  </si>
  <si>
    <t>8.2.1; 8.2.3</t>
  </si>
  <si>
    <t>8.2.3</t>
  </si>
  <si>
    <t>9.4.2</t>
  </si>
  <si>
    <t>12.7.1, 18.2.1</t>
  </si>
  <si>
    <t>11.1.2</t>
  </si>
  <si>
    <t>11.1.2, 11.1.3</t>
  </si>
  <si>
    <t>11.1.2,  11.1.3</t>
  </si>
  <si>
    <t>11.1.2, 11.2.5</t>
  </si>
  <si>
    <t>5.1.1</t>
  </si>
  <si>
    <t>14.2.8</t>
  </si>
  <si>
    <t>16.1.5</t>
  </si>
  <si>
    <t>7.1.1</t>
  </si>
  <si>
    <t>7.1.2</t>
  </si>
  <si>
    <t>7.2.2</t>
  </si>
  <si>
    <t>9.2.5</t>
  </si>
  <si>
    <t>12.7.1</t>
  </si>
  <si>
    <t>10.1.1, 18.1.5</t>
  </si>
  <si>
    <t>14.2.1, 14.2.5, 14.2.8</t>
  </si>
  <si>
    <t>6.2.1</t>
  </si>
  <si>
    <t>18.2.1</t>
  </si>
  <si>
    <t>16.1.1</t>
  </si>
  <si>
    <t>9.2.3</t>
  </si>
  <si>
    <t>18.1.1, 7.2.2</t>
  </si>
  <si>
    <t>16.1.2, 16.1.5, 18.1.1</t>
  </si>
  <si>
    <t>§164.308(a)(6)(ii)</t>
  </si>
  <si>
    <t>§164.308(a)(4),
§164.312(a)(1), §164.312(a)(2)(i), 
§164.312(d)</t>
  </si>
  <si>
    <t>§164.308(a)(4), 
§164.312(a)(1), §164.312(a)(2)(i),
§164.312(d)</t>
  </si>
  <si>
    <t>§164.308(a)(4), 
§164.312(a)(1), §164.312(a)(2)(i), 
§164.312(d)</t>
  </si>
  <si>
    <t>§164.308(a)(3)(i), §164.308(b)(1), 
§164.308(b)(3), §164.314(a)(1)(i)</t>
  </si>
  <si>
    <t>§164.308(a)(4), 
§164.312(a)(1)</t>
  </si>
  <si>
    <t>§164.308(a)(4), 
§164.312(d)</t>
  </si>
  <si>
    <t>ID.GV-3</t>
  </si>
  <si>
    <t>ID.AM-6, PR.AT-3</t>
  </si>
  <si>
    <t>PR.IP-9</t>
  </si>
  <si>
    <t>3.8.2</t>
  </si>
  <si>
    <t>3.1.2, 3.1.3</t>
  </si>
  <si>
    <t>3.1.2</t>
  </si>
  <si>
    <t>3.1.2, 3.1.19, 3.8.2</t>
  </si>
  <si>
    <t>3.1.1, 3.1.2, 3.1.7</t>
  </si>
  <si>
    <t>3.4.9</t>
  </si>
  <si>
    <t>3.1.12, 3.1.13, 3.1.14, 3.1.14, 3.1.15, 3.1.8, 3.1.20, 3.7.5, 3.8.2, 3.13.7</t>
  </si>
  <si>
    <t>3.1.4</t>
  </si>
  <si>
    <t>3.1.1, 3.1.5, 3.1.6, 3.7.1, 3.7.2</t>
  </si>
  <si>
    <t>3.5.6</t>
  </si>
  <si>
    <t>3.5.7</t>
  </si>
  <si>
    <t>3.5.5, 3.5.8</t>
  </si>
  <si>
    <t>3.5.1</t>
  </si>
  <si>
    <t>3.5.10</t>
  </si>
  <si>
    <t>3.5.2, 3.5.3</t>
  </si>
  <si>
    <t>3.1.1</t>
  </si>
  <si>
    <t>3.1.7, 3.3.1</t>
  </si>
  <si>
    <t>3.1.7, 3.3.2, 3.3.3, 3.3.4, 3.3.5, 3.4.3, 3.7.1, 3.7.6, 3.10.4, 3.10.5</t>
  </si>
  <si>
    <t>3.3.8, 3.3.9</t>
  </si>
  <si>
    <t>3.5.3, 3.7.5</t>
  </si>
  <si>
    <t>3.12.2</t>
  </si>
  <si>
    <t>3.2.1, 3.2.2</t>
  </si>
  <si>
    <t>3.4.3, 3.4.4</t>
  </si>
  <si>
    <t>3.4.3, 3.4.4, 3.4.5</t>
  </si>
  <si>
    <t>3.4.4</t>
  </si>
  <si>
    <t>3.14.4</t>
  </si>
  <si>
    <t>3.1.3, 3.8.1</t>
  </si>
  <si>
    <t>3.1.22</t>
  </si>
  <si>
    <t>3.1.19, 3.8.1</t>
  </si>
  <si>
    <t>3.8.1</t>
  </si>
  <si>
    <t>3.8.9</t>
  </si>
  <si>
    <t>3.8.6, 3.8.9</t>
  </si>
  <si>
    <t>3.13.10</t>
  </si>
  <si>
    <t>3.8.1, 3.8.9</t>
  </si>
  <si>
    <t>3.8.1, 3.8.5, 3.8.9</t>
  </si>
  <si>
    <t>3.7.1, 3.7.2, 3.8.3</t>
  </si>
  <si>
    <t>3.7.3, 3.8.3,</t>
  </si>
  <si>
    <t>3.8.1, 3.8.2</t>
  </si>
  <si>
    <t>3.8.6, 3.13.11</t>
  </si>
  <si>
    <t>3.1.3</t>
  </si>
  <si>
    <t>3.6.2</t>
  </si>
  <si>
    <t>3.6.1, 3.14.6, 3.14.7</t>
  </si>
  <si>
    <t>3.3.1</t>
  </si>
  <si>
    <t>3.1.19</t>
  </si>
  <si>
    <t>3.8.2, 3.10.1, 3.10.2, 3.10.5, 3.10.6, 3.12.1</t>
  </si>
  <si>
    <t>3.10.2</t>
  </si>
  <si>
    <t>3.7.3, 3.8.7, 3.10.3</t>
  </si>
  <si>
    <t>3.8.1, 3.8.5, 3.8.7</t>
  </si>
  <si>
    <t>3.7.3, 3.8.1, 3.8.5, 3.8.7, 3.10.3</t>
  </si>
  <si>
    <t>3.9.1, 3.9.2</t>
  </si>
  <si>
    <t>3.13.2</t>
  </si>
  <si>
    <t>3.6.1, 3.12.2</t>
  </si>
  <si>
    <t>3.6.2,</t>
  </si>
  <si>
    <t>3.9.1</t>
  </si>
  <si>
    <t>3.2.1</t>
  </si>
  <si>
    <t>3.2.1, 3.2.2, 3.2.3</t>
  </si>
  <si>
    <t>3.1.7</t>
  </si>
  <si>
    <t>3.4.1, 3.4.2, 3.4.3</t>
  </si>
  <si>
    <t>3.13.13</t>
  </si>
  <si>
    <t>3.1.18, 3.7.1, 3.13.13</t>
  </si>
  <si>
    <t>3.11.1, 3.11.2, 3.11.3</t>
  </si>
  <si>
    <t>3.11.1, 3.11.2, 3.11.3, 3.14.2</t>
  </si>
  <si>
    <t>3.2.2</t>
  </si>
  <si>
    <t>3.6.1, 3.14.1</t>
  </si>
  <si>
    <t>3.6.2, 3.12.2</t>
  </si>
  <si>
    <t>3.5.9</t>
  </si>
  <si>
    <t>3.1.8</t>
  </si>
  <si>
    <t>3.1.10, 3.1.11</t>
  </si>
  <si>
    <t>3.1.2, 3.1.5</t>
  </si>
  <si>
    <t>3.3.2</t>
  </si>
  <si>
    <t>3.6.3, 3.12.2</t>
  </si>
  <si>
    <t>ID.AM-6, PR-AT-3</t>
  </si>
  <si>
    <t>ID.AM-5</t>
  </si>
  <si>
    <t>PR.AC-4</t>
  </si>
  <si>
    <t>PR.AC-4, PR.PT-3</t>
  </si>
  <si>
    <t>PR.AC-3, PR.MA-2</t>
  </si>
  <si>
    <t>PR.PT-3</t>
  </si>
  <si>
    <t>ID.AM-2</t>
  </si>
  <si>
    <t>ID.AM-1, ID.AM-2, ID.AM-4</t>
  </si>
  <si>
    <t>PR.DS-6</t>
  </si>
  <si>
    <t>PR.AC-1</t>
  </si>
  <si>
    <t>PR.AC-1, PR.AC-4</t>
  </si>
  <si>
    <t>PR.PT-1</t>
  </si>
  <si>
    <t>PR.IP-3</t>
  </si>
  <si>
    <t>PR.IP-3, PR.DS-7</t>
  </si>
  <si>
    <t>ID.AM-3</t>
  </si>
  <si>
    <t>PR.AC-2, PR.IP-5</t>
  </si>
  <si>
    <t>PR.DS-2</t>
  </si>
  <si>
    <t>PR.DS-1</t>
  </si>
  <si>
    <t>PR.IP-4</t>
  </si>
  <si>
    <t>PR.DS-1, PR.IP-4</t>
  </si>
  <si>
    <t>ID.AM-1, ID.AM-2, PR.IP-9</t>
  </si>
  <si>
    <t>PR.DS-3</t>
  </si>
  <si>
    <t>PR.DS-3, ID.GV-3</t>
  </si>
  <si>
    <t>PR.DS-1, PR.DS-2</t>
  </si>
  <si>
    <t>PR.AC-2</t>
  </si>
  <si>
    <t>PR.AC-5</t>
  </si>
  <si>
    <t>PR.DS-4</t>
  </si>
  <si>
    <t>PR.DS-5</t>
  </si>
  <si>
    <t>DE.CM-1</t>
  </si>
  <si>
    <t>DE.CM-1, DE.CM-2, DE.CM-7</t>
  </si>
  <si>
    <t>DE.AE-1, DE.CM-1, PR.PT-4</t>
  </si>
  <si>
    <t>DE.CM-7</t>
  </si>
  <si>
    <t>DE.CM-7, PR.DS-2</t>
  </si>
  <si>
    <t>DE.CM-7, PR.DS-1</t>
  </si>
  <si>
    <t>DE.CM-7, DE.CM-8, ID.RA-1</t>
  </si>
  <si>
    <t>PR.AC-2, PR.AT-5, PR.IP-5, DE.CM-2</t>
  </si>
  <si>
    <t>PR.AC-2, PR.AC-4, PR.DS-1, PR.DS-3, PR.DS-5</t>
  </si>
  <si>
    <t>DE.CM-2</t>
  </si>
  <si>
    <t>ID.GV-2</t>
  </si>
  <si>
    <t>PR.IP-12</t>
  </si>
  <si>
    <t>DE.CM-8, RS.MI-3</t>
  </si>
  <si>
    <t>PR.DS-7</t>
  </si>
  <si>
    <t>PR.IP-2</t>
  </si>
  <si>
    <t>PR.IP-11</t>
  </si>
  <si>
    <t>PR.AT-1</t>
  </si>
  <si>
    <t>PR.PT-4</t>
  </si>
  <si>
    <t>PR.IP-1</t>
  </si>
  <si>
    <t>PR.IP-1, PR.IP-2</t>
  </si>
  <si>
    <t>DE.CM-8</t>
  </si>
  <si>
    <t>ID.RA-1, DE.CM-8, PR.IP-12</t>
  </si>
  <si>
    <t>RA-2</t>
  </si>
  <si>
    <t>IA-2, IA-3, CM-3, SI-2</t>
  </si>
  <si>
    <t>AU-7, AU-9, IR-4</t>
  </si>
  <si>
    <t>CA-5, PL-2</t>
  </si>
  <si>
    <t>SA-9</t>
  </si>
  <si>
    <t>PE-2, PE-3, PE-5, PE-11, PE-13, PE-14, SA-9</t>
  </si>
  <si>
    <t xml:space="preserve">SA-3, SA-15, SC-2, PM-2, PM-10, SI-5,PM-3 </t>
  </si>
  <si>
    <t>MP-2, RA-3</t>
  </si>
  <si>
    <t>PS-3</t>
  </si>
  <si>
    <t>PS-5</t>
  </si>
  <si>
    <t>AC-4</t>
  </si>
  <si>
    <t>MP-2</t>
  </si>
  <si>
    <t>AC-2, AC-3, AC-6</t>
  </si>
  <si>
    <t>CM-11</t>
  </si>
  <si>
    <t>AC-17; NIST SP 800-46</t>
  </si>
  <si>
    <t>AC-3, CM-7; NIST SP 800-46</t>
  </si>
  <si>
    <t>CA-9, SC-4</t>
  </si>
  <si>
    <t>AC-5</t>
  </si>
  <si>
    <t>AC-2, AC-3, AC-6, MA-2, MA-3</t>
  </si>
  <si>
    <t>IA-4</t>
  </si>
  <si>
    <t>IA-5(1)</t>
  </si>
  <si>
    <t>IA-2, IA-5</t>
  </si>
  <si>
    <t>IA-5</t>
  </si>
  <si>
    <t>IA-2(1,2,3)</t>
  </si>
  <si>
    <t>AC-6(1,3,9), AU-2, AU-2(3), AU-3, AU-7, AU-9(4), AU-12, NIST 800-92</t>
  </si>
  <si>
    <t>AU-2(3), AU-6, AU-12, AC-6(9), CM-3, MA-2, MA-5, PE-3</t>
  </si>
  <si>
    <t>AU-9</t>
  </si>
  <si>
    <t>AU-7, AU-9, IR-4, AC-5, CP-4, CP-10; NIST SP 800-34</t>
  </si>
  <si>
    <t>AC-5, CP-4, CP-10; NIST SP 800-34</t>
  </si>
  <si>
    <t>AT-3, AC-5, CP-4, CP-10; NIST SP 800-34</t>
  </si>
  <si>
    <t>CM-3, CM-4, CM-5</t>
  </si>
  <si>
    <t>AC-4, MP-2, MP-4</t>
  </si>
  <si>
    <t>AC-22</t>
  </si>
  <si>
    <t>MP-2, AC-19(5)</t>
  </si>
  <si>
    <t>PE-2, PE-3, PE-5, MP-5</t>
  </si>
  <si>
    <t>CP-9</t>
  </si>
  <si>
    <t>CP-9 MP-6, NIST SP 800-60, NIST SP 800-88, AC-2, AC-6, IA-4, PM-2, PM-10, SI-5, MA-2, MA-3, MP-6</t>
  </si>
  <si>
    <t>AC-2, AC-6, IA-4, PM-2, PM-10, SI-5, MA-2</t>
  </si>
  <si>
    <t>SI-12, AC-2, AC-6, IA-4, PM-2, PM-10, SI-5, MA-2</t>
  </si>
  <si>
    <t>AC-2, AC-6, IA-4, PM-2, PM-10, SI-5</t>
  </si>
  <si>
    <t>SC-28, SC-13, FIPS PUB 140-2</t>
  </si>
  <si>
    <t>CP-9, MP-5</t>
  </si>
  <si>
    <t>PE-2, PE-3, PE-5, PE-11, PE-13, PE-14</t>
  </si>
  <si>
    <t>IR-2, IR-4, IR-5</t>
  </si>
  <si>
    <t>IR-2, IR-4, IR-6</t>
  </si>
  <si>
    <t>IR-2, IR-4, IR-7</t>
  </si>
  <si>
    <t>IR-2, IR-4, IR-8</t>
  </si>
  <si>
    <t>IR-2, IR-4, IR-9</t>
  </si>
  <si>
    <t>IR-2, IR-4, IR-10</t>
  </si>
  <si>
    <t>IR-2, IR-4, IR-11</t>
  </si>
  <si>
    <t>AU-2</t>
  </si>
  <si>
    <t>AC-19(5)</t>
  </si>
  <si>
    <t>MP-4, PE-2, PE-5, PE-6, PE-17</t>
  </si>
  <si>
    <t>MP-2, MP-5, MP-7</t>
  </si>
  <si>
    <t>PE-6</t>
  </si>
  <si>
    <t>MP-2, MP-5, MP-7, PE-3</t>
  </si>
  <si>
    <t>PM-2, PM-10, SI-5, CA-5, PM-1</t>
  </si>
  <si>
    <t>CA-5, PM-1</t>
  </si>
  <si>
    <t>CM-3, SA-15, SA-3, SA-8, SC-2, CA-5, PM-1</t>
  </si>
  <si>
    <t>CA-5, PM-1, IR-4, IR-5, IR-7, IR-8</t>
  </si>
  <si>
    <t>CA-5, PM-1, IR-4, IR-5, IR-6, IR-7, IR-8</t>
  </si>
  <si>
    <t>CA-2, SA-15, CA-5, PM-1, IR-4, IR-5, IR-6, R-7, IR-8</t>
  </si>
  <si>
    <t>CA-5, PM-1, PS-3</t>
  </si>
  <si>
    <t>AT-2, CA-5, PM-1</t>
  </si>
  <si>
    <t>AT-2, AT-3, CA-5, PM-1</t>
  </si>
  <si>
    <t>CA-5, PM-1, PS-4, PS-5, PE-2, PE-3, PE-5, AC-6, RA-3, SA-8, CA-2, NIST SP 800-37; NIST SP 800-39; NIST SP 800-115; NIST SP 800-137</t>
  </si>
  <si>
    <t>CM-2, CM-3, CM-6, CM-8</t>
  </si>
  <si>
    <t>CM-2, CM-6, CM-3, AC-19, MA-2</t>
  </si>
  <si>
    <t>SI-2</t>
  </si>
  <si>
    <t>AT-3</t>
  </si>
  <si>
    <t>IR-2, IR-4, IR-5, IR-7</t>
  </si>
  <si>
    <t>IR-6</t>
  </si>
  <si>
    <t>AC-7</t>
  </si>
  <si>
    <t>AC-11, AC-11(1), AC-12</t>
  </si>
  <si>
    <t>AU-2, AU-6, AU-12</t>
  </si>
  <si>
    <t>AU-3</t>
  </si>
  <si>
    <t>Describe or provide a reference to your media handling process, that is documented and currently implemented, including end-of-life, repurposing, and data sanitization procedures.</t>
  </si>
  <si>
    <t>ISO 27002:2013</t>
  </si>
  <si>
    <t>Item</t>
  </si>
  <si>
    <t>Default Sharing Permission</t>
  </si>
  <si>
    <t>Default Sharing Audience</t>
  </si>
  <si>
    <t>Assessment template and discussion regarding the assessment process</t>
  </si>
  <si>
    <t>OK to share</t>
  </si>
  <si>
    <t>Public</t>
  </si>
  <si>
    <t>List of service providers assessed and contact information of service providers</t>
  </si>
  <si>
    <t>Higher education institutions only</t>
  </si>
  <si>
    <t>Completed Vendor Assessment Tool (vendor answers intact)</t>
  </si>
  <si>
    <t>None, Opt-in by service provider only</t>
  </si>
  <si>
    <t>None, unless opt-in. If a service provider opts-in, the sharing is within higher education institutions only</t>
  </si>
  <si>
    <t>Security report created by this Higher Education institution</t>
  </si>
  <si>
    <t>This completed Vendor Assessment Tool (with vendor answers intact) can be shared within Higher Education institutions through the Cloud Broker Index, https://www.ren-isac.net/hecvat/cbi.html.</t>
  </si>
  <si>
    <t>v1.06</t>
  </si>
  <si>
    <t>Added standards crosswalk and Cloud Broker Index (CBI) information</t>
  </si>
  <si>
    <t>Version 1.06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</si>
</sst>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1" x14ac:knownFonts="1">
    <font>
      <sz val="12"/>
      <color indexed="8"/>
      <name val="Verdana"/>
    </font>
    <font>
      <sz val="11"/>
      <color indexed="8"/>
      <name val="Verdana"/>
    </font>
    <font>
      <b/>
      <sz val="12"/>
      <color theme="1"/>
      <name val="Verdana"/>
    </font>
    <font>
      <sz val="11"/>
      <color theme="1"/>
      <name val="Verdana"/>
    </font>
    <font>
      <b/>
      <sz val="14"/>
      <color theme="0"/>
      <name val="Verdana"/>
    </font>
    <font>
      <i/>
      <sz val="11"/>
      <color theme="1"/>
      <name val="Verdana"/>
    </font>
    <font>
      <i/>
      <sz val="12"/>
      <color theme="1"/>
      <name val="Verdana"/>
    </font>
    <font>
      <b/>
      <sz val="20"/>
      <color theme="0"/>
      <name val="Verdana"/>
    </font>
    <font>
      <b/>
      <sz val="12"/>
      <color indexed="8"/>
      <name val="Verdana"/>
    </font>
    <font>
      <sz val="10"/>
      <color indexed="81"/>
      <name val="Calibri"/>
    </font>
    <font>
      <b/>
      <sz val="11"/>
      <color rgb="FFFF0000"/>
      <name val="Verdana"/>
    </font>
    <font>
      <b/>
      <sz val="14"/>
      <color rgb="FFFF0000"/>
      <name val="Verdana"/>
      <family val="2"/>
    </font>
    <font>
      <b/>
      <sz val="14"/>
      <color theme="1"/>
      <name val="Verdana"/>
    </font>
    <font>
      <b/>
      <sz val="12"/>
      <color theme="0"/>
      <name val="Verdana"/>
    </font>
    <font>
      <b/>
      <sz val="14"/>
      <color theme="0" tint="-0.249977111117893"/>
      <name val="Verdana"/>
      <family val="2"/>
    </font>
    <font>
      <b/>
      <sz val="11"/>
      <color theme="1"/>
      <name val="Verdana"/>
    </font>
    <font>
      <sz val="12"/>
      <color theme="1"/>
      <name val="Verdana"/>
    </font>
    <font>
      <sz val="11"/>
      <color rgb="FFFF0000"/>
      <name val="Verdana"/>
    </font>
    <font>
      <b/>
      <sz val="10"/>
      <color indexed="81"/>
      <name val="Calibri"/>
    </font>
    <font>
      <sz val="10"/>
      <color rgb="FF000000"/>
      <name val="Arial"/>
    </font>
    <font>
      <i/>
      <sz val="11"/>
      <color indexed="8"/>
      <name val="Verdana"/>
    </font>
    <font>
      <sz val="12"/>
      <color indexed="8"/>
      <name val="Verdana"/>
    </font>
    <font>
      <b/>
      <sz val="11"/>
      <color indexed="8"/>
      <name val="Verdana"/>
    </font>
    <font>
      <b/>
      <sz val="14"/>
      <name val="Verdana"/>
    </font>
    <font>
      <b/>
      <sz val="14"/>
      <color theme="0" tint="-0.14999847407452621"/>
      <name val="Verdana"/>
    </font>
    <font>
      <sz val="11"/>
      <color theme="0"/>
      <name val="Verdana"/>
    </font>
    <font>
      <sz val="12"/>
      <color theme="0"/>
      <name val="Verdana"/>
    </font>
    <font>
      <u/>
      <sz val="12"/>
      <color theme="10"/>
      <name val="Verdana"/>
    </font>
    <font>
      <u/>
      <sz val="12"/>
      <color theme="11"/>
      <name val="Verdana"/>
    </font>
    <font>
      <b/>
      <sz val="12"/>
      <color rgb="FF000000"/>
      <name val="Verdana"/>
    </font>
    <font>
      <sz val="11"/>
      <color rgb="FF000000"/>
      <name val="Verdana"/>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0000"/>
        <bgColor indexed="64"/>
      </patternFill>
    </fill>
    <fill>
      <patternFill patternType="solid">
        <fgColor theme="1" tint="0.249977111117893"/>
        <bgColor indexed="64"/>
      </patternFill>
    </fill>
  </fills>
  <borders count="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8">
    <xf numFmtId="0" fontId="0" fillId="0" borderId="0" applyNumberFormat="0" applyFill="0" applyBorder="0" applyProtection="0">
      <alignment vertical="top" wrapText="1"/>
    </xf>
    <xf numFmtId="0" fontId="19" fillId="0" borderId="0"/>
    <xf numFmtId="0" fontId="27" fillId="0" borderId="0" applyNumberFormat="0" applyFill="0" applyBorder="0" applyAlignment="0" applyProtection="0">
      <alignment vertical="top" wrapText="1"/>
    </xf>
    <xf numFmtId="0" fontId="28" fillId="0" borderId="0" applyNumberFormat="0" applyFill="0" applyBorder="0" applyAlignment="0" applyProtection="0">
      <alignment vertical="top" wrapText="1"/>
    </xf>
    <xf numFmtId="0" fontId="27" fillId="0" borderId="0" applyNumberFormat="0" applyFill="0" applyBorder="0" applyAlignment="0" applyProtection="0">
      <alignment vertical="top" wrapText="1"/>
    </xf>
    <xf numFmtId="0" fontId="28" fillId="0" borderId="0" applyNumberFormat="0" applyFill="0" applyBorder="0" applyAlignment="0" applyProtection="0">
      <alignment vertical="top" wrapText="1"/>
    </xf>
    <xf numFmtId="0" fontId="27" fillId="0" borderId="0" applyNumberFormat="0" applyFill="0" applyBorder="0" applyAlignment="0" applyProtection="0">
      <alignment vertical="top" wrapText="1"/>
    </xf>
    <xf numFmtId="0" fontId="28" fillId="0" borderId="0" applyNumberFormat="0" applyFill="0" applyBorder="0" applyAlignment="0" applyProtection="0">
      <alignment vertical="top" wrapText="1"/>
    </xf>
  </cellStyleXfs>
  <cellXfs count="105">
    <xf numFmtId="0" fontId="0" fillId="0" borderId="0" xfId="0" applyFont="1" applyAlignment="1">
      <alignment vertical="top" wrapText="1"/>
    </xf>
    <xf numFmtId="0" fontId="0" fillId="0" borderId="0" xfId="0" applyFont="1" applyAlignment="1">
      <alignment horizontal="left" vertical="center" wrapText="1"/>
    </xf>
    <xf numFmtId="0" fontId="8" fillId="0" borderId="0" xfId="0" applyFont="1" applyAlignment="1">
      <alignment vertical="top" wrapText="1"/>
    </xf>
    <xf numFmtId="0" fontId="1" fillId="0" borderId="0" xfId="0" applyNumberFormat="1" applyFont="1" applyAlignment="1"/>
    <xf numFmtId="0" fontId="1" fillId="0" borderId="0" xfId="0" applyNumberFormat="1" applyFont="1" applyAlignment="1">
      <alignment horizontal="left" vertical="center"/>
    </xf>
    <xf numFmtId="0" fontId="1" fillId="0" borderId="0" xfId="0" applyNumberFormat="1" applyFont="1" applyAlignment="1">
      <alignment wrapText="1"/>
    </xf>
    <xf numFmtId="0" fontId="10" fillId="0" borderId="0" xfId="0" applyNumberFormat="1" applyFont="1" applyBorder="1" applyAlignment="1">
      <alignment wrapText="1"/>
    </xf>
    <xf numFmtId="0" fontId="14" fillId="2" borderId="3" xfId="0" applyNumberFormat="1" applyFont="1" applyFill="1" applyBorder="1" applyAlignment="1">
      <alignment horizontal="center" vertical="center" wrapText="1"/>
    </xf>
    <xf numFmtId="0" fontId="2" fillId="4" borderId="3" xfId="0" applyNumberFormat="1" applyFont="1" applyFill="1" applyBorder="1" applyAlignment="1">
      <alignment vertical="center" wrapText="1"/>
    </xf>
    <xf numFmtId="1" fontId="17" fillId="4" borderId="3" xfId="0" applyNumberFormat="1" applyFont="1" applyFill="1" applyBorder="1" applyAlignment="1">
      <alignment vertical="center" wrapText="1"/>
    </xf>
    <xf numFmtId="0" fontId="17" fillId="4" borderId="3" xfId="0" applyNumberFormat="1" applyFont="1" applyFill="1" applyBorder="1" applyAlignment="1">
      <alignment vertical="center" wrapText="1"/>
    </xf>
    <xf numFmtId="1" fontId="17" fillId="4" borderId="3" xfId="0" applyNumberFormat="1" applyFont="1" applyFill="1" applyBorder="1" applyAlignment="1">
      <alignment horizontal="left" vertical="center" wrapText="1"/>
    </xf>
    <xf numFmtId="0" fontId="3" fillId="3" borderId="3" xfId="0" applyNumberFormat="1" applyFont="1" applyFill="1" applyBorder="1" applyAlignment="1">
      <alignment horizontal="center" vertical="center" wrapText="1"/>
    </xf>
    <xf numFmtId="1" fontId="3" fillId="3" borderId="3" xfId="0" applyNumberFormat="1" applyFont="1" applyFill="1" applyBorder="1" applyAlignment="1">
      <alignment vertical="center" wrapText="1"/>
    </xf>
    <xf numFmtId="14" fontId="0" fillId="0" borderId="0" xfId="0" applyNumberFormat="1" applyFont="1" applyAlignment="1">
      <alignment vertical="top" wrapText="1"/>
    </xf>
    <xf numFmtId="0" fontId="1" fillId="0" borderId="3" xfId="0" applyFont="1" applyBorder="1" applyAlignment="1">
      <alignment vertical="center" wrapText="1"/>
    </xf>
    <xf numFmtId="0" fontId="1" fillId="4" borderId="3" xfId="0" applyFont="1" applyFill="1" applyBorder="1" applyAlignment="1">
      <alignment vertical="center" wrapText="1"/>
    </xf>
    <xf numFmtId="0" fontId="19" fillId="0" borderId="0" xfId="1" applyFont="1" applyAlignment="1"/>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1" fillId="0" borderId="0" xfId="0" applyFont="1" applyAlignment="1">
      <alignment horizontal="center" vertical="center" wrapText="1"/>
    </xf>
    <xf numFmtId="0" fontId="0" fillId="0" borderId="0" xfId="0">
      <alignment vertical="top" wrapText="1"/>
    </xf>
    <xf numFmtId="0" fontId="23" fillId="0" borderId="0" xfId="0" applyNumberFormat="1" applyFont="1" applyFill="1" applyBorder="1" applyAlignment="1">
      <alignment vertical="center" wrapText="1"/>
    </xf>
    <xf numFmtId="0" fontId="22" fillId="0" borderId="3" xfId="0" applyFont="1" applyBorder="1" applyAlignment="1">
      <alignment horizontal="left" vertical="center" wrapText="1"/>
    </xf>
    <xf numFmtId="0" fontId="22" fillId="0" borderId="3" xfId="0" applyFont="1" applyBorder="1" applyAlignment="1">
      <alignment horizontal="left" vertical="top" wrapText="1"/>
    </xf>
    <xf numFmtId="0" fontId="1" fillId="0" borderId="3" xfId="0" applyFont="1" applyBorder="1" applyAlignment="1">
      <alignment horizontal="left" vertical="center" wrapText="1"/>
    </xf>
    <xf numFmtId="0" fontId="3" fillId="0" borderId="3" xfId="0" applyNumberFormat="1" applyFont="1" applyFill="1" applyBorder="1" applyAlignment="1">
      <alignment vertical="center" wrapText="1"/>
    </xf>
    <xf numFmtId="0" fontId="5" fillId="4" borderId="3" xfId="0" applyNumberFormat="1" applyFont="1" applyFill="1" applyBorder="1" applyAlignment="1">
      <alignment horizontal="left" vertical="center" wrapText="1"/>
    </xf>
    <xf numFmtId="0" fontId="1" fillId="4" borderId="3" xfId="0" applyNumberFormat="1" applyFont="1" applyFill="1" applyBorder="1" applyAlignment="1">
      <alignment horizontal="left" vertical="top" wrapText="1"/>
    </xf>
    <xf numFmtId="0" fontId="1" fillId="4" borderId="3"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22" fillId="0" borderId="3" xfId="0" applyFont="1" applyBorder="1" applyAlignment="1">
      <alignment horizontal="left" vertical="center" wrapText="1"/>
    </xf>
    <xf numFmtId="0" fontId="1" fillId="0" borderId="0" xfId="0" applyNumberFormat="1" applyFont="1" applyAlignment="1">
      <alignment horizontal="center" vertical="center"/>
    </xf>
    <xf numFmtId="0" fontId="3" fillId="3" borderId="3" xfId="0" applyNumberFormat="1" applyFont="1" applyFill="1" applyBorder="1" applyAlignment="1">
      <alignment horizontal="left" vertical="center" wrapText="1"/>
    </xf>
    <xf numFmtId="0" fontId="13"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 fontId="4" fillId="2" borderId="3" xfId="0" applyNumberFormat="1" applyFont="1" applyFill="1" applyBorder="1" applyAlignment="1">
      <alignment horizontal="left" vertical="center" wrapText="1"/>
    </xf>
    <xf numFmtId="1" fontId="11" fillId="2" borderId="3" xfId="0" applyNumberFormat="1" applyFont="1" applyFill="1" applyBorder="1" applyAlignment="1">
      <alignment horizontal="left" vertical="center" wrapText="1"/>
    </xf>
    <xf numFmtId="0" fontId="3" fillId="4" borderId="3" xfId="0" applyNumberFormat="1" applyFont="1" applyFill="1" applyBorder="1" applyAlignment="1">
      <alignment horizontal="left" vertical="center" wrapText="1"/>
    </xf>
    <xf numFmtId="1" fontId="4" fillId="2" borderId="3" xfId="0" applyNumberFormat="1" applyFont="1" applyFill="1" applyBorder="1" applyAlignment="1">
      <alignment horizontal="center" vertical="center" wrapText="1"/>
    </xf>
    <xf numFmtId="1" fontId="24" fillId="2" borderId="3" xfId="0" applyNumberFormat="1" applyFont="1" applyFill="1" applyBorder="1" applyAlignment="1">
      <alignment horizontal="center" vertical="center" wrapText="1"/>
    </xf>
    <xf numFmtId="0" fontId="15" fillId="4" borderId="3" xfId="0" applyNumberFormat="1" applyFont="1" applyFill="1" applyBorder="1" applyAlignment="1">
      <alignment vertical="center" wrapText="1"/>
    </xf>
    <xf numFmtId="1" fontId="10" fillId="3" borderId="3" xfId="0" applyNumberFormat="1" applyFont="1" applyFill="1" applyBorder="1" applyAlignment="1">
      <alignment vertical="center" wrapText="1"/>
    </xf>
    <xf numFmtId="0" fontId="3" fillId="4" borderId="3" xfId="0" applyNumberFormat="1" applyFont="1" applyFill="1" applyBorder="1" applyAlignment="1">
      <alignment vertical="center" wrapText="1"/>
    </xf>
    <xf numFmtId="1" fontId="3" fillId="3" borderId="3" xfId="0" applyNumberFormat="1" applyFont="1" applyFill="1" applyBorder="1" applyAlignment="1">
      <alignment horizontal="left" vertical="center" wrapText="1"/>
    </xf>
    <xf numFmtId="1" fontId="1" fillId="3" borderId="3" xfId="0" applyNumberFormat="1" applyFont="1" applyFill="1" applyBorder="1" applyAlignment="1">
      <alignment vertical="center" wrapText="1"/>
    </xf>
    <xf numFmtId="0" fontId="3" fillId="3" borderId="3" xfId="0" applyNumberFormat="1" applyFont="1" applyFill="1" applyBorder="1" applyAlignment="1">
      <alignment vertical="center" wrapText="1"/>
    </xf>
    <xf numFmtId="0" fontId="25" fillId="0" borderId="0" xfId="0" applyNumberFormat="1" applyFont="1" applyAlignment="1"/>
    <xf numFmtId="0" fontId="26" fillId="0" borderId="0" xfId="0" applyFont="1" applyAlignment="1">
      <alignment vertical="top" wrapText="1"/>
    </xf>
    <xf numFmtId="49" fontId="13" fillId="2" borderId="0"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0" borderId="3" xfId="0" applyNumberFormat="1" applyFont="1" applyFill="1" applyBorder="1" applyAlignment="1">
      <alignment vertical="center" wrapText="1"/>
    </xf>
    <xf numFmtId="49" fontId="10" fillId="0" borderId="0" xfId="0" applyNumberFormat="1" applyFont="1" applyBorder="1" applyAlignment="1">
      <alignment wrapText="1"/>
    </xf>
    <xf numFmtId="49" fontId="13" fillId="2" borderId="3" xfId="0" applyNumberFormat="1" applyFont="1" applyFill="1" applyBorder="1" applyAlignment="1">
      <alignment horizontal="center" vertical="center" wrapText="1"/>
    </xf>
    <xf numFmtId="49" fontId="3" fillId="4" borderId="3" xfId="0" applyNumberFormat="1" applyFont="1" applyFill="1" applyBorder="1" applyAlignment="1">
      <alignment vertical="center" wrapText="1"/>
    </xf>
    <xf numFmtId="49" fontId="3" fillId="4" borderId="3" xfId="0" applyNumberFormat="1" applyFont="1" applyFill="1" applyBorder="1" applyAlignment="1">
      <alignment horizontal="left" vertical="center" wrapText="1"/>
    </xf>
    <xf numFmtId="49" fontId="3" fillId="5" borderId="3" xfId="0" applyNumberFormat="1" applyFont="1" applyFill="1" applyBorder="1" applyAlignment="1">
      <alignment vertical="center" wrapText="1"/>
    </xf>
    <xf numFmtId="49" fontId="3" fillId="5" borderId="3" xfId="0" applyNumberFormat="1" applyFont="1" applyFill="1" applyBorder="1" applyAlignment="1">
      <alignment horizontal="left" vertical="center" wrapText="1"/>
    </xf>
    <xf numFmtId="49" fontId="1" fillId="0" borderId="0" xfId="0" applyNumberFormat="1" applyFont="1" applyAlignment="1"/>
    <xf numFmtId="49" fontId="1" fillId="0" borderId="0" xfId="0" applyNumberFormat="1" applyFont="1" applyAlignment="1">
      <alignment horizontal="center" vertical="center"/>
    </xf>
    <xf numFmtId="49" fontId="1" fillId="0" borderId="0" xfId="0" applyNumberFormat="1" applyFont="1" applyAlignment="1">
      <alignment wrapText="1"/>
    </xf>
    <xf numFmtId="0" fontId="13" fillId="2" borderId="0"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0" fontId="3" fillId="5" borderId="3" xfId="0" applyNumberFormat="1" applyFont="1" applyFill="1" applyBorder="1" applyAlignment="1">
      <alignment vertical="center" wrapText="1"/>
    </xf>
    <xf numFmtId="0" fontId="13" fillId="2" borderId="3" xfId="1" applyFont="1" applyFill="1" applyBorder="1" applyAlignment="1">
      <alignment vertical="center" wrapText="1"/>
    </xf>
    <xf numFmtId="0" fontId="29" fillId="0" borderId="0" xfId="1" applyFont="1" applyAlignment="1">
      <alignment vertical="center"/>
    </xf>
    <xf numFmtId="0" fontId="30" fillId="4" borderId="3" xfId="1" applyFont="1" applyFill="1" applyBorder="1" applyAlignment="1">
      <alignment vertical="center" wrapText="1"/>
    </xf>
    <xf numFmtId="0" fontId="30" fillId="0" borderId="0" xfId="1" applyFont="1" applyAlignment="1"/>
    <xf numFmtId="0" fontId="30" fillId="0" borderId="0" xfId="1" applyFont="1" applyAlignment="1">
      <alignment wrapText="1"/>
    </xf>
    <xf numFmtId="0" fontId="7" fillId="6" borderId="3" xfId="0" applyFont="1" applyFill="1" applyBorder="1" applyAlignment="1">
      <alignment horizontal="left" vertical="center" wrapText="1"/>
    </xf>
    <xf numFmtId="0" fontId="12" fillId="4" borderId="3" xfId="0"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 fillId="0" borderId="3" xfId="0" applyFont="1" applyBorder="1" applyAlignment="1">
      <alignment horizontal="left" vertical="center" wrapText="1"/>
    </xf>
    <xf numFmtId="0" fontId="22" fillId="0" borderId="3" xfId="0" applyFont="1" applyBorder="1" applyAlignment="1">
      <alignment horizontal="left" vertical="center" wrapText="1"/>
    </xf>
    <xf numFmtId="0" fontId="4" fillId="2" borderId="3"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16" fillId="5" borderId="3" xfId="0" applyNumberFormat="1" applyFont="1" applyFill="1" applyBorder="1" applyAlignment="1">
      <alignment horizontal="left" vertical="center" wrapText="1"/>
    </xf>
    <xf numFmtId="0" fontId="26" fillId="7" borderId="1" xfId="0" applyNumberFormat="1" applyFont="1" applyFill="1" applyBorder="1" applyAlignment="1">
      <alignment horizontal="left" vertical="center" wrapText="1"/>
    </xf>
    <xf numFmtId="0" fontId="26" fillId="7" borderId="4" xfId="0" applyNumberFormat="1" applyFont="1" applyFill="1" applyBorder="1" applyAlignment="1">
      <alignment horizontal="left" vertical="center" wrapText="1"/>
    </xf>
    <xf numFmtId="0" fontId="26" fillId="7" borderId="2" xfId="0" applyNumberFormat="1" applyFont="1" applyFill="1" applyBorder="1" applyAlignment="1">
      <alignment horizontal="left" vertical="center" wrapText="1"/>
    </xf>
    <xf numFmtId="0" fontId="1" fillId="3" borderId="3" xfId="0" applyNumberFormat="1" applyFont="1" applyFill="1" applyBorder="1" applyAlignment="1">
      <alignment horizontal="left" vertical="center" wrapText="1"/>
    </xf>
    <xf numFmtId="0" fontId="3" fillId="3" borderId="3" xfId="0" applyNumberFormat="1" applyFont="1" applyFill="1" applyBorder="1" applyAlignment="1">
      <alignment vertical="center" wrapText="1"/>
    </xf>
    <xf numFmtId="0" fontId="3" fillId="3" borderId="1" xfId="0" applyNumberFormat="1"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164" fontId="3"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4" borderId="3" xfId="0" applyNumberFormat="1" applyFont="1" applyFill="1" applyBorder="1" applyAlignment="1">
      <alignment horizontal="left" vertical="center" wrapText="1"/>
    </xf>
    <xf numFmtId="0" fontId="20" fillId="4" borderId="1" xfId="0" applyNumberFormat="1" applyFont="1" applyFill="1" applyBorder="1" applyAlignment="1">
      <alignment vertical="center" wrapText="1"/>
    </xf>
    <xf numFmtId="0" fontId="1" fillId="4" borderId="4" xfId="0" applyNumberFormat="1" applyFont="1" applyFill="1" applyBorder="1" applyAlignment="1">
      <alignment vertical="center" wrapText="1"/>
    </xf>
    <xf numFmtId="0" fontId="1" fillId="4" borderId="2" xfId="0" applyNumberFormat="1" applyFont="1" applyFill="1" applyBorder="1" applyAlignment="1">
      <alignment vertical="center" wrapText="1"/>
    </xf>
    <xf numFmtId="0" fontId="4" fillId="2" borderId="1"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12" fillId="4" borderId="1" xfId="0" applyNumberFormat="1" applyFont="1" applyFill="1" applyBorder="1" applyAlignment="1">
      <alignment horizontal="left" vertical="center" wrapText="1"/>
    </xf>
    <xf numFmtId="0" fontId="12" fillId="4" borderId="4" xfId="0" applyNumberFormat="1" applyFont="1" applyFill="1" applyBorder="1" applyAlignment="1">
      <alignment horizontal="left" vertical="center" wrapText="1"/>
    </xf>
    <xf numFmtId="0" fontId="12" fillId="4" borderId="2" xfId="0" applyNumberFormat="1" applyFont="1" applyFill="1" applyBorder="1" applyAlignment="1">
      <alignment horizontal="left" vertical="center" wrapText="1"/>
    </xf>
  </cellXfs>
  <cellStyles count="8">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1"/>
  </cellStyles>
  <dxfs count="235">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tint="4.9989318521683403E-2"/>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tint="4.9989318521683403E-2"/>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tint="4.9989318521683403E-2"/>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tint="4.9989318521683403E-2"/>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tint="4.9989318521683403E-2"/>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tint="4.9989318521683403E-2"/>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tint="4.9989318521683403E-2"/>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tint="4.9989318521683403E-2"/>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7" tint="-0.24994659260841701"/>
      </font>
      <fill>
        <patternFill>
          <bgColor theme="1" tint="4.9989318521683403E-2"/>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
      <font>
        <color theme="7" tint="-0.24994659260841701"/>
      </font>
      <fill>
        <patternFill>
          <bgColor theme="1"/>
        </patternFill>
      </fill>
      <border>
        <left style="thin">
          <color auto="1"/>
        </left>
        <right style="thin">
          <color auto="1"/>
        </right>
        <top style="thin">
          <color auto="1"/>
        </top>
        <bottom style="thin">
          <color auto="1"/>
        </bottom>
      </border>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0C2"/>
      <rgbColor rgb="FF68070C"/>
      <rgbColor rgb="FFAAAAAA"/>
      <rgbColor rgb="FF7F0424"/>
      <rgbColor rgb="FFF3E4B5"/>
      <rgbColor rgb="FF0563C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9EDEF"/>
      <color rgb="FFF2DCDB"/>
      <color rgb="FFD7E1EC"/>
      <color rgb="FFFF5E49"/>
      <color rgb="FF6809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7350308" cy="9822180"/>
    <xdr:sp macro="" textlink="">
      <xdr:nvSpPr>
        <xdr:cNvPr id="2" name="TextBox 1"/>
        <xdr:cNvSpPr txBox="1"/>
      </xdr:nvSpPr>
      <xdr:spPr>
        <a:xfrm>
          <a:off x="0" y="165100"/>
          <a:ext cx="7350308" cy="9822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chemeClr val="tx1"/>
              </a:solidFill>
              <a:effectLst/>
              <a:latin typeface="Verdana" charset="0"/>
              <a:ea typeface="Verdana" charset="0"/>
              <a:cs typeface="Verdana" charset="0"/>
            </a:rPr>
            <a:t>Shared Assessments Introduction</a:t>
          </a:r>
          <a:endParaRPr lang="en-US" sz="1100">
            <a:solidFill>
              <a:schemeClr val="tx1"/>
            </a:solidFill>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p>
        <a:p>
          <a:endParaRPr lang="en-US" sz="1100">
            <a:solidFill>
              <a:schemeClr val="tx1"/>
            </a:solidFill>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b="0">
            <a:effectLst/>
            <a:latin typeface="Verdana" charset="0"/>
            <a:ea typeface="Verdana" charset="0"/>
            <a:cs typeface="Verdana" charset="0"/>
          </a:endParaRP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The Higher Education Cloud Vendor Assessment Tool 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Higher Education Cloud Vendor Assessment Tool will be revised over time to account for changes in cloud services provisioning and the information security and data protection needs of higher education institutions.</a:t>
          </a:r>
          <a:endParaRPr lang="en-US" b="0">
            <a:effectLst/>
            <a:latin typeface="Verdana" charset="0"/>
            <a:ea typeface="Verdana" charset="0"/>
            <a:cs typeface="Verdana" charset="0"/>
          </a:endParaRP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The Higher Education Cloud Vendor Assessment Tool:</a:t>
          </a:r>
          <a:endParaRPr lang="en-US" b="0">
            <a:effectLst/>
            <a:latin typeface="Verdana" charset="0"/>
            <a:ea typeface="Verdana" charset="0"/>
            <a:cs typeface="Verdana" charset="0"/>
          </a:endParaRPr>
        </a:p>
        <a:p>
          <a:pPr rtl="0" fontAlgn="base"/>
          <a:r>
            <a:rPr lang="en-US" sz="1100" b="0" i="0" u="none" strike="noStrike">
              <a:solidFill>
                <a:schemeClr val="tx1"/>
              </a:solidFill>
              <a:effectLst/>
              <a:latin typeface="Verdana" charset="0"/>
              <a:ea typeface="Verdana" charset="0"/>
              <a:cs typeface="Verdana" charset="0"/>
            </a:rPr>
            <a:t>●Helps higher education institutions ensure that cloud services are appropriately assessed for security and privacy needs, including some that are unique to higher education</a:t>
          </a:r>
        </a:p>
        <a:p>
          <a:pPr rtl="0" fontAlgn="base"/>
          <a:r>
            <a:rPr lang="en-US" sz="1100" b="0" i="0">
              <a:solidFill>
                <a:schemeClr val="tx1"/>
              </a:solidFill>
              <a:effectLst/>
              <a:latin typeface="+mn-lt"/>
              <a:ea typeface="+mn-ea"/>
              <a:cs typeface="+mn-cs"/>
            </a:rPr>
            <a:t>●</a:t>
          </a:r>
          <a:r>
            <a:rPr lang="en-US" sz="1100" b="0" i="0" u="none" strike="noStrike">
              <a:solidFill>
                <a:schemeClr val="tx1"/>
              </a:solidFill>
              <a:effectLst/>
              <a:latin typeface="Verdana" charset="0"/>
              <a:ea typeface="Verdana" charset="0"/>
              <a:cs typeface="Verdana" charset="0"/>
            </a:rPr>
            <a:t>Allows a consistent, easily-adopted methodology for campuses wishing to reduce costs through cloud services without increasing risks</a:t>
          </a:r>
        </a:p>
        <a:p>
          <a:pPr rtl="0" fontAlgn="base"/>
          <a:r>
            <a:rPr lang="en-US" sz="1100" b="0" i="0">
              <a:solidFill>
                <a:schemeClr val="tx1"/>
              </a:solidFill>
              <a:effectLst/>
              <a:latin typeface="+mn-lt"/>
              <a:ea typeface="+mn-ea"/>
              <a:cs typeface="+mn-cs"/>
            </a:rPr>
            <a:t>●</a:t>
          </a:r>
          <a:r>
            <a:rPr lang="en-US" sz="1100" b="0" i="0" u="none" strike="noStrike">
              <a:solidFill>
                <a:schemeClr val="tx1"/>
              </a:solidFill>
              <a:effectLst/>
              <a:latin typeface="Verdana" charset="0"/>
              <a:ea typeface="Verdana" charset="0"/>
              <a:cs typeface="Verdana" charset="0"/>
            </a:rPr>
            <a:t>Reduces the burden that cloud service providers face in responding to requests for security assessments from higher education institutions</a:t>
          </a: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This Higher Education Cloud Vendor Assessment Tool 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Verdana" charset="0"/>
              <a:ea typeface="Verdana" charset="0"/>
              <a:cs typeface="Verdana" charset="0"/>
            </a:rPr>
            <a:t>https://www.educause.edu/hecvat</a:t>
          </a:r>
        </a:p>
        <a:p>
          <a:pPr rtl="0"/>
          <a:r>
            <a:rPr lang="en-US" b="0">
              <a:effectLst/>
              <a:latin typeface="Verdana" charset="0"/>
              <a:ea typeface="Verdana" charset="0"/>
              <a:cs typeface="Verdana" charset="0"/>
            </a:rPr>
            <a:t>https://www.ren-isac.net/hecvat</a:t>
          </a: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(C) EDUCAUSE 2016</a:t>
          </a:r>
          <a:endParaRPr lang="en-US" b="0">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This work is licensed under a Creative Commons Attribution-Noncommercial-ShareAlike 4.0 International License (CC BY-NC-SA 4.0).</a:t>
          </a:r>
          <a:endParaRPr lang="en-US" b="0">
            <a:effectLst/>
            <a:latin typeface="Verdana" charset="0"/>
            <a:ea typeface="Verdana" charset="0"/>
            <a:cs typeface="Verdana" charset="0"/>
          </a:endParaRPr>
        </a:p>
        <a:p>
          <a:pPr marL="0" marR="0" indent="0" defTabSz="914400" eaLnBrk="1" fontAlgn="auto" latinLnBrk="0" hangingPunct="1">
            <a:lnSpc>
              <a:spcPct val="100000"/>
            </a:lnSpc>
            <a:spcBef>
              <a:spcPts val="0"/>
            </a:spcBef>
            <a:spcAft>
              <a:spcPts val="0"/>
            </a:spcAft>
            <a:buClrTx/>
            <a:buSzTx/>
            <a:buFontTx/>
            <a:buNone/>
            <a:tabLst/>
            <a:defRPr/>
          </a:pPr>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This </a:t>
          </a:r>
          <a:r>
            <a:rPr lang="en-US" sz="1100" b="0" i="0">
              <a:solidFill>
                <a:schemeClr val="tx1"/>
              </a:solidFill>
              <a:effectLst/>
              <a:latin typeface="+mn-lt"/>
              <a:ea typeface="+mn-ea"/>
              <a:cs typeface="+mn-cs"/>
            </a:rPr>
            <a:t>Higher Education Cloud Vendor Assessment Tool </a:t>
          </a:r>
          <a:r>
            <a:rPr lang="en-US" sz="1100" b="0" i="0" u="none" strike="noStrike">
              <a:solidFill>
                <a:schemeClr val="tx1"/>
              </a:solidFill>
              <a:effectLst/>
              <a:latin typeface="Verdana" charset="0"/>
              <a:ea typeface="Verdana" charset="0"/>
              <a:cs typeface="Verdana" charset="0"/>
            </a:rPr>
            <a:t>is brought to you by the Higher Education Information Security Council, and members from EDUCAUSE, Internet2, and the Research and Education Networking Information Sharing and Analysis Center (REN-ISAC).</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xdr:txBody>
    </xdr:sp>
    <xdr:clientData/>
  </xdr:oneCellAnchor>
  <xdr:twoCellAnchor editAs="oneCell">
    <xdr:from>
      <xdr:col>0</xdr:col>
      <xdr:colOff>0</xdr:colOff>
      <xdr:row>1</xdr:row>
      <xdr:rowOff>0</xdr:rowOff>
    </xdr:from>
    <xdr:to>
      <xdr:col>3</xdr:col>
      <xdr:colOff>355600</xdr:colOff>
      <xdr:row>4</xdr:row>
      <xdr:rowOff>25400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2590801</xdr:colOff>
      <xdr:row>10</xdr:row>
      <xdr:rowOff>76200</xdr:rowOff>
    </xdr:to>
    <xdr:sp macro="" textlink="">
      <xdr:nvSpPr>
        <xdr:cNvPr id="2" name="TextBox 1"/>
        <xdr:cNvSpPr txBox="1"/>
      </xdr:nvSpPr>
      <xdr:spPr>
        <a:xfrm>
          <a:off x="1" y="177800"/>
          <a:ext cx="8128000"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endParaRPr lang="en-US" b="0">
            <a:effectLst/>
            <a:latin typeface="Verdana" charset="0"/>
            <a:ea typeface="Verdana" charset="0"/>
            <a:cs typeface="Verdana" charset="0"/>
          </a:endParaRPr>
        </a:p>
        <a:p>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dk1"/>
              </a:solidFill>
              <a:effectLst/>
              <a:latin typeface="Verdana" charset="0"/>
              <a:ea typeface="Verdana" charset="0"/>
              <a:cs typeface="Verdana" charset="0"/>
            </a:rPr>
            <a:t>By completing the Higher Education Cloud Vendor Assessment Tool - Lite, cloud service providers understand that the completed assessment may be shared among higher education institutions.  Anticipated sharing uses, permissions, and audiences are defined in the table below.</a:t>
          </a:r>
        </a:p>
        <a:p>
          <a:endParaRPr lang="en-US" sz="1100">
            <a:latin typeface="Verdana" charset="0"/>
            <a:ea typeface="Verdana" charset="0"/>
            <a:cs typeface="Verdana" charset="0"/>
          </a:endParaRPr>
        </a:p>
        <a:p>
          <a:endParaRPr lang="en-US" sz="1100">
            <a:latin typeface="Verdana" charset="0"/>
            <a:ea typeface="Verdana" charset="0"/>
            <a:cs typeface="Verdana" charset="0"/>
          </a:endParaRPr>
        </a:p>
        <a:p>
          <a:endParaRPr lang="en-US" sz="1100"/>
        </a:p>
      </xdr:txBody>
    </xdr:sp>
    <xdr:clientData/>
  </xdr:twoCellAnchor>
  <xdr:oneCellAnchor>
    <xdr:from>
      <xdr:col>0</xdr:col>
      <xdr:colOff>0</xdr:colOff>
      <xdr:row>1</xdr:row>
      <xdr:rowOff>0</xdr:rowOff>
    </xdr:from>
    <xdr:ext cx="2374900" cy="520700"/>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78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63501</xdr:colOff>
      <xdr:row>17</xdr:row>
      <xdr:rowOff>12700</xdr:rowOff>
    </xdr:from>
    <xdr:to>
      <xdr:col>2</xdr:col>
      <xdr:colOff>2654301</xdr:colOff>
      <xdr:row>23</xdr:row>
      <xdr:rowOff>114300</xdr:rowOff>
    </xdr:to>
    <xdr:sp macro="" textlink="">
      <xdr:nvSpPr>
        <xdr:cNvPr id="4" name="TextBox 3"/>
        <xdr:cNvSpPr txBox="1"/>
      </xdr:nvSpPr>
      <xdr:spPr>
        <a:xfrm>
          <a:off x="63501" y="5905500"/>
          <a:ext cx="8128000" cy="116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Verdana" charset="0"/>
              <a:ea typeface="Verdana" charset="0"/>
              <a:cs typeface="Verdana" charset="0"/>
            </a:rPr>
            <a:t>The</a:t>
          </a:r>
          <a:r>
            <a:rPr lang="en-US" sz="1100" b="0" i="0" u="none" strike="noStrike" baseline="0">
              <a:solidFill>
                <a:schemeClr val="dk1"/>
              </a:solidFill>
              <a:effectLst/>
              <a:latin typeface="Verdana" charset="0"/>
              <a:ea typeface="Verdana" charset="0"/>
              <a:cs typeface="Verdana" charset="0"/>
            </a:rPr>
            <a:t> REN-ISAC hosts the Cloud Broker Index (CBI), an up-to-date index of participating vendors that maintain a populated HECVAT for any/all of their services. Vendors have the choice to host their own HECVAT(s), providing a link(s) to the index, or having the REN-ISAC host their populated HECVAT(s).</a:t>
          </a:r>
        </a:p>
        <a:p>
          <a:r>
            <a:rPr lang="en-US" sz="1100" b="0" i="0" u="none" strike="noStrike" baseline="0">
              <a:solidFill>
                <a:schemeClr val="dk1"/>
              </a:solidFill>
              <a:effectLst/>
              <a:latin typeface="Verdana" charset="0"/>
              <a:ea typeface="Verdana" charset="0"/>
              <a:cs typeface="Verdana" charset="0"/>
            </a:rPr>
            <a:t/>
          </a:r>
          <a:br>
            <a:rPr lang="en-US" sz="1100" b="0" i="0" u="none" strike="noStrike" baseline="0">
              <a:solidFill>
                <a:schemeClr val="dk1"/>
              </a:solidFill>
              <a:effectLst/>
              <a:latin typeface="Verdana" charset="0"/>
              <a:ea typeface="Verdana" charset="0"/>
              <a:cs typeface="Verdana" charset="0"/>
            </a:rPr>
          </a:br>
          <a:r>
            <a:rPr lang="en-US" sz="1100" b="0" i="0" u="none" strike="noStrike" baseline="0">
              <a:solidFill>
                <a:schemeClr val="dk1"/>
              </a:solidFill>
              <a:effectLst/>
              <a:latin typeface="Verdana" charset="0"/>
              <a:ea typeface="Verdana" charset="0"/>
              <a:cs typeface="Verdana" charset="0"/>
            </a:rPr>
            <a:t>The Cloud Broker Index can be found at: https://www.ren-isac.net/hecvat/cbi.html.</a:t>
          </a:r>
          <a:endParaRPr lang="en-US" sz="1100" b="0" i="0" u="none" strike="noStrike">
            <a:solidFill>
              <a:schemeClr val="dk1"/>
            </a:solidFill>
            <a:effectLst/>
            <a:latin typeface="Verdana" charset="0"/>
            <a:ea typeface="Verdana" charset="0"/>
            <a:cs typeface="Verdana" charset="0"/>
          </a:endParaRPr>
        </a:p>
        <a:p>
          <a:endParaRPr lang="en-US" sz="1100">
            <a:latin typeface="Verdana" charset="0"/>
            <a:ea typeface="Verdana" charset="0"/>
            <a:cs typeface="Verdana" charset="0"/>
          </a:endParaRPr>
        </a:p>
        <a:p>
          <a:endParaRPr lang="en-US" sz="1100">
            <a:latin typeface="Verdana" charset="0"/>
            <a:ea typeface="Verdana" charset="0"/>
            <a:cs typeface="Verdana"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75445</xdr:colOff>
      <xdr:row>13</xdr:row>
      <xdr:rowOff>62872</xdr:rowOff>
    </xdr:from>
    <xdr:to>
      <xdr:col>1</xdr:col>
      <xdr:colOff>5935049</xdr:colOff>
      <xdr:row>13</xdr:row>
      <xdr:rowOff>1331154</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747821" y="6777525"/>
          <a:ext cx="5859604" cy="1268282"/>
        </a:xfrm>
        <a:prstGeom prst="rect">
          <a:avLst/>
        </a:prstGeom>
      </xdr:spPr>
    </xdr:pic>
    <xdr:clientData/>
  </xdr:twoCellAnchor>
  <xdr:twoCellAnchor editAs="oneCell">
    <xdr:from>
      <xdr:col>0</xdr:col>
      <xdr:colOff>75444</xdr:colOff>
      <xdr:row>16</xdr:row>
      <xdr:rowOff>251486</xdr:rowOff>
    </xdr:from>
    <xdr:to>
      <xdr:col>1</xdr:col>
      <xdr:colOff>7637369</xdr:colOff>
      <xdr:row>16</xdr:row>
      <xdr:rowOff>1119108</xdr:rowOff>
    </xdr:to>
    <xdr:pic>
      <xdr:nvPicPr>
        <xdr:cNvPr id="13" name="Picture 12"/>
        <xdr:cNvPicPr>
          <a:picLocks noChangeAspect="1"/>
        </xdr:cNvPicPr>
      </xdr:nvPicPr>
      <xdr:blipFill>
        <a:blip xmlns:r="http://schemas.openxmlformats.org/officeDocument/2006/relationships" r:embed="rId2"/>
        <a:stretch>
          <a:fillRect/>
        </a:stretch>
      </xdr:blipFill>
      <xdr:spPr>
        <a:xfrm>
          <a:off x="75444" y="9996536"/>
          <a:ext cx="9322321" cy="8676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7612588" cy="7315200"/>
    <xdr:sp macro="" textlink="">
      <xdr:nvSpPr>
        <xdr:cNvPr id="2" name="TextBox 1"/>
        <xdr:cNvSpPr txBox="1"/>
      </xdr:nvSpPr>
      <xdr:spPr>
        <a:xfrm>
          <a:off x="0" y="165100"/>
          <a:ext cx="7612588" cy="7315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100" b="1">
              <a:solidFill>
                <a:schemeClr val="tx1"/>
              </a:solidFill>
              <a:effectLst/>
              <a:latin typeface="Verdana" charset="0"/>
              <a:ea typeface="Verdana" charset="0"/>
              <a:cs typeface="Verdana" charset="0"/>
            </a:rPr>
            <a:t>Acknowledgments</a:t>
          </a:r>
          <a:endParaRPr lang="en-US">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twoCellAnchor editAs="oneCell">
    <xdr:from>
      <xdr:col>0</xdr:col>
      <xdr:colOff>0</xdr:colOff>
      <xdr:row>1</xdr:row>
      <xdr:rowOff>0</xdr:rowOff>
    </xdr:from>
    <xdr:to>
      <xdr:col>3</xdr:col>
      <xdr:colOff>355600</xdr:colOff>
      <xdr:row>4</xdr:row>
      <xdr:rowOff>25400</xdr:rowOff>
    </xdr:to>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ColWidth="6.59765625" defaultRowHeight="12.5" x14ac:dyDescent="0.25"/>
  <cols>
    <col min="1" max="16384" width="6.59765625" style="1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16"/>
  <sheetViews>
    <sheetView showGridLines="0" workbookViewId="0">
      <selection activeCell="D2" sqref="D2"/>
    </sheetView>
  </sheetViews>
  <sheetFormatPr defaultColWidth="6.59765625" defaultRowHeight="13.5" x14ac:dyDescent="0.25"/>
  <cols>
    <col min="1" max="1" width="26.86328125" style="72" customWidth="1"/>
    <col min="2" max="3" width="27.59765625" style="72" customWidth="1"/>
    <col min="4" max="4" width="6.59765625" style="71" customWidth="1"/>
    <col min="5" max="16384" width="6.59765625" style="71"/>
  </cols>
  <sheetData>
    <row r="12" spans="1:3" s="69" customFormat="1" ht="24" customHeight="1" x14ac:dyDescent="0.3">
      <c r="A12" s="68" t="s">
        <v>1068</v>
      </c>
      <c r="B12" s="68" t="s">
        <v>1069</v>
      </c>
      <c r="C12" s="68" t="s">
        <v>1070</v>
      </c>
    </row>
    <row r="13" spans="1:3" ht="64" customHeight="1" x14ac:dyDescent="0.25">
      <c r="A13" s="70" t="s">
        <v>1071</v>
      </c>
      <c r="B13" s="70" t="s">
        <v>1072</v>
      </c>
      <c r="C13" s="70" t="s">
        <v>1073</v>
      </c>
    </row>
    <row r="14" spans="1:3" ht="64" customHeight="1" x14ac:dyDescent="0.25">
      <c r="A14" s="70" t="s">
        <v>1074</v>
      </c>
      <c r="B14" s="70" t="s">
        <v>1072</v>
      </c>
      <c r="C14" s="70" t="s">
        <v>1075</v>
      </c>
    </row>
    <row r="15" spans="1:3" ht="72" customHeight="1" x14ac:dyDescent="0.25">
      <c r="A15" s="70" t="s">
        <v>1076</v>
      </c>
      <c r="B15" s="70" t="s">
        <v>1077</v>
      </c>
      <c r="C15" s="70" t="s">
        <v>1078</v>
      </c>
    </row>
    <row r="16" spans="1:3" ht="72" customHeight="1" x14ac:dyDescent="0.25">
      <c r="A16" s="70" t="s">
        <v>1079</v>
      </c>
      <c r="B16" s="70" t="s">
        <v>1077</v>
      </c>
      <c r="C16" s="70" t="s">
        <v>1078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zoomScale="101" workbookViewId="0">
      <selection activeCell="C1" sqref="C1"/>
    </sheetView>
  </sheetViews>
  <sheetFormatPr defaultColWidth="10.59765625" defaultRowHeight="15" x14ac:dyDescent="0.3"/>
  <cols>
    <col min="1" max="1" width="17.3984375" customWidth="1"/>
    <col min="2" max="2" width="76.59765625" customWidth="1"/>
  </cols>
  <sheetData>
    <row r="1" spans="1:256" ht="36" customHeight="1" x14ac:dyDescent="0.3">
      <c r="A1" s="73" t="s">
        <v>553</v>
      </c>
      <c r="B1" s="73"/>
    </row>
    <row r="2" spans="1:256" ht="26" customHeight="1" x14ac:dyDescent="0.25">
      <c r="A2" s="74"/>
      <c r="B2" s="74"/>
      <c r="C2" s="23"/>
      <c r="D2" s="23"/>
      <c r="E2" s="2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18" customFormat="1" ht="24" customHeight="1" x14ac:dyDescent="0.3">
      <c r="A3" s="75" t="s">
        <v>540</v>
      </c>
      <c r="B3" s="76"/>
    </row>
    <row r="4" spans="1:256" ht="54" customHeight="1" x14ac:dyDescent="0.3">
      <c r="A4" s="77" t="s">
        <v>675</v>
      </c>
      <c r="B4" s="77"/>
    </row>
    <row r="5" spans="1:256" s="18" customFormat="1" ht="24" customHeight="1" x14ac:dyDescent="0.3">
      <c r="A5" s="75" t="s">
        <v>541</v>
      </c>
      <c r="B5" s="76"/>
    </row>
    <row r="6" spans="1:256" ht="72" customHeight="1" x14ac:dyDescent="0.3">
      <c r="A6" s="77" t="s">
        <v>554</v>
      </c>
      <c r="B6" s="77"/>
    </row>
    <row r="7" spans="1:256" ht="55" customHeight="1" x14ac:dyDescent="0.3">
      <c r="A7" s="24" t="s">
        <v>1</v>
      </c>
      <c r="B7" s="15" t="s">
        <v>676</v>
      </c>
    </row>
    <row r="8" spans="1:256" ht="54" customHeight="1" x14ac:dyDescent="0.3">
      <c r="A8" s="32" t="s">
        <v>588</v>
      </c>
      <c r="B8" s="15" t="s">
        <v>603</v>
      </c>
    </row>
    <row r="9" spans="1:256" ht="54" customHeight="1" x14ac:dyDescent="0.3">
      <c r="A9" s="24" t="s">
        <v>14</v>
      </c>
      <c r="B9" s="15" t="s">
        <v>543</v>
      </c>
    </row>
    <row r="10" spans="1:256" ht="36" customHeight="1" x14ac:dyDescent="0.3">
      <c r="A10" s="24" t="s">
        <v>20</v>
      </c>
      <c r="B10" s="15" t="s">
        <v>677</v>
      </c>
    </row>
    <row r="11" spans="1:256" ht="36" customHeight="1" x14ac:dyDescent="0.3">
      <c r="A11" s="24" t="s">
        <v>199</v>
      </c>
      <c r="B11" s="15" t="s">
        <v>544</v>
      </c>
    </row>
    <row r="12" spans="1:256" ht="36" customHeight="1" x14ac:dyDescent="0.3">
      <c r="A12" s="24" t="s">
        <v>542</v>
      </c>
      <c r="B12" s="15" t="s">
        <v>545</v>
      </c>
    </row>
    <row r="13" spans="1:256" ht="96" customHeight="1" x14ac:dyDescent="0.3">
      <c r="A13" s="77" t="s">
        <v>548</v>
      </c>
      <c r="B13" s="77"/>
    </row>
    <row r="14" spans="1:256" ht="120" customHeight="1" x14ac:dyDescent="0.3">
      <c r="A14" s="25" t="s">
        <v>546</v>
      </c>
      <c r="B14" s="26"/>
    </row>
    <row r="15" spans="1:256" s="18" customFormat="1" ht="24" customHeight="1" x14ac:dyDescent="0.3">
      <c r="A15" s="75" t="s">
        <v>549</v>
      </c>
      <c r="B15" s="76"/>
    </row>
    <row r="16" spans="1:256" ht="56" customHeight="1" x14ac:dyDescent="0.3">
      <c r="A16" s="77" t="s">
        <v>550</v>
      </c>
      <c r="B16" s="77"/>
    </row>
    <row r="17" spans="1:2" ht="96" customHeight="1" x14ac:dyDescent="0.3">
      <c r="A17" s="25" t="s">
        <v>547</v>
      </c>
      <c r="B17" s="26"/>
    </row>
    <row r="18" spans="1:2" ht="35" customHeight="1" x14ac:dyDescent="0.3">
      <c r="A18" s="78" t="s">
        <v>561</v>
      </c>
      <c r="B18" s="78"/>
    </row>
    <row r="19" spans="1:2" x14ac:dyDescent="0.3">
      <c r="A19" s="19"/>
    </row>
    <row r="21" spans="1:2" x14ac:dyDescent="0.3">
      <c r="A21" s="20"/>
    </row>
    <row r="22" spans="1:2" x14ac:dyDescent="0.3">
      <c r="A22" s="21"/>
    </row>
    <row r="23" spans="1:2" x14ac:dyDescent="0.3">
      <c r="A23" s="19"/>
    </row>
    <row r="25" spans="1:2" x14ac:dyDescent="0.3">
      <c r="A25" s="19"/>
    </row>
    <row r="28" spans="1:2" x14ac:dyDescent="0.3">
      <c r="A28" s="22"/>
    </row>
  </sheetData>
  <mergeCells count="10">
    <mergeCell ref="A18:B18"/>
    <mergeCell ref="A6:B6"/>
    <mergeCell ref="A13:B13"/>
    <mergeCell ref="A15:B15"/>
    <mergeCell ref="A16:B16"/>
    <mergeCell ref="A1:B1"/>
    <mergeCell ref="A2:B2"/>
    <mergeCell ref="A3:B3"/>
    <mergeCell ref="A4:B4"/>
    <mergeCell ref="A5:B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V339"/>
  <sheetViews>
    <sheetView showGridLines="0" topLeftCell="A327" workbookViewId="0">
      <selection activeCell="B330" sqref="B330"/>
    </sheetView>
  </sheetViews>
  <sheetFormatPr defaultColWidth="6.59765625" defaultRowHeight="15" customHeight="1" x14ac:dyDescent="0.25"/>
  <cols>
    <col min="1" max="1" width="8.265625" customWidth="1"/>
    <col min="2" max="2" width="58.46484375" style="3" customWidth="1"/>
    <col min="3" max="3" width="20" style="33" customWidth="1"/>
    <col min="4" max="4" width="50.59765625" style="5" customWidth="1"/>
    <col min="5" max="5" width="32.1328125" style="6" customWidth="1"/>
    <col min="6" max="256" width="6.59765625" style="3" customWidth="1"/>
  </cols>
  <sheetData>
    <row r="1" spans="1:5" ht="36" customHeight="1" x14ac:dyDescent="0.25">
      <c r="A1" s="81" t="s">
        <v>555</v>
      </c>
      <c r="B1" s="81"/>
      <c r="C1" s="81"/>
      <c r="D1" s="81"/>
      <c r="E1" s="35" t="s">
        <v>1083</v>
      </c>
    </row>
    <row r="2" spans="1:5" ht="26" customHeight="1" x14ac:dyDescent="0.25">
      <c r="A2" s="74" t="s">
        <v>124</v>
      </c>
      <c r="B2" s="74"/>
      <c r="C2" s="74"/>
      <c r="D2" s="74"/>
      <c r="E2" s="74"/>
    </row>
    <row r="3" spans="1:5" ht="29" customHeight="1" x14ac:dyDescent="0.25">
      <c r="A3" s="27" t="s">
        <v>491</v>
      </c>
      <c r="B3" s="8" t="s">
        <v>0</v>
      </c>
      <c r="C3" s="91" t="s">
        <v>195</v>
      </c>
      <c r="D3" s="91"/>
      <c r="E3" s="91"/>
    </row>
    <row r="4" spans="1:5" ht="36" customHeight="1" x14ac:dyDescent="0.25">
      <c r="A4" s="79" t="s">
        <v>1</v>
      </c>
      <c r="B4" s="79"/>
      <c r="C4" s="36"/>
      <c r="D4" s="37"/>
      <c r="E4" s="38"/>
    </row>
    <row r="5" spans="1:5" ht="72" customHeight="1" x14ac:dyDescent="0.25">
      <c r="A5" s="82" t="s">
        <v>726</v>
      </c>
      <c r="B5" s="82"/>
      <c r="C5" s="82"/>
      <c r="D5" s="82"/>
      <c r="E5" s="82"/>
    </row>
    <row r="6" spans="1:5" ht="24" customHeight="1" x14ac:dyDescent="0.25">
      <c r="A6" s="83" t="s">
        <v>723</v>
      </c>
      <c r="B6" s="84"/>
      <c r="C6" s="84"/>
      <c r="D6" s="84"/>
      <c r="E6" s="85"/>
    </row>
    <row r="7" spans="1:5" ht="22" customHeight="1" x14ac:dyDescent="0.25">
      <c r="A7" s="16" t="s">
        <v>498</v>
      </c>
      <c r="B7" s="39" t="s">
        <v>632</v>
      </c>
      <c r="C7" s="92" t="s">
        <v>638</v>
      </c>
      <c r="D7" s="92"/>
      <c r="E7" s="92"/>
    </row>
    <row r="8" spans="1:5" ht="22" customHeight="1" x14ac:dyDescent="0.25">
      <c r="A8" s="16" t="s">
        <v>499</v>
      </c>
      <c r="B8" s="39" t="s">
        <v>633</v>
      </c>
      <c r="C8" s="92" t="s">
        <v>172</v>
      </c>
      <c r="D8" s="92"/>
      <c r="E8" s="92"/>
    </row>
    <row r="9" spans="1:5" ht="22" customHeight="1" x14ac:dyDescent="0.25">
      <c r="A9" s="16" t="s">
        <v>500</v>
      </c>
      <c r="B9" s="39" t="s">
        <v>634</v>
      </c>
      <c r="C9" s="92" t="s">
        <v>634</v>
      </c>
      <c r="D9" s="92"/>
      <c r="E9" s="92"/>
    </row>
    <row r="10" spans="1:5" ht="22" customHeight="1" x14ac:dyDescent="0.25">
      <c r="A10" s="16" t="s">
        <v>501</v>
      </c>
      <c r="B10" s="39" t="s">
        <v>635</v>
      </c>
      <c r="C10" s="93" t="s">
        <v>635</v>
      </c>
      <c r="D10" s="94"/>
      <c r="E10" s="95"/>
    </row>
    <row r="11" spans="1:5" ht="22" customHeight="1" x14ac:dyDescent="0.25">
      <c r="A11" s="16" t="s">
        <v>502</v>
      </c>
      <c r="B11" s="39" t="s">
        <v>636</v>
      </c>
      <c r="C11" s="93" t="s">
        <v>636</v>
      </c>
      <c r="D11" s="94"/>
      <c r="E11" s="95"/>
    </row>
    <row r="12" spans="1:5" ht="22" customHeight="1" x14ac:dyDescent="0.25">
      <c r="A12" s="16" t="s">
        <v>503</v>
      </c>
      <c r="B12" s="39" t="s">
        <v>637</v>
      </c>
      <c r="C12" s="92" t="s">
        <v>2</v>
      </c>
      <c r="D12" s="92"/>
      <c r="E12" s="92"/>
    </row>
    <row r="13" spans="1:5" ht="24" customHeight="1" x14ac:dyDescent="0.25">
      <c r="A13" s="83" t="s">
        <v>724</v>
      </c>
      <c r="B13" s="84"/>
      <c r="C13" s="84"/>
      <c r="D13" s="84"/>
      <c r="E13" s="85"/>
    </row>
    <row r="14" spans="1:5" ht="22" customHeight="1" x14ac:dyDescent="0.25">
      <c r="A14" s="16" t="s">
        <v>504</v>
      </c>
      <c r="B14" s="39" t="s">
        <v>3</v>
      </c>
      <c r="C14" s="92" t="s">
        <v>3</v>
      </c>
      <c r="D14" s="92"/>
      <c r="E14" s="92"/>
    </row>
    <row r="15" spans="1:5" ht="22" customHeight="1" x14ac:dyDescent="0.25">
      <c r="A15" s="16" t="s">
        <v>505</v>
      </c>
      <c r="B15" s="39" t="s">
        <v>4</v>
      </c>
      <c r="C15" s="92" t="s">
        <v>563</v>
      </c>
      <c r="D15" s="92"/>
      <c r="E15" s="92"/>
    </row>
    <row r="16" spans="1:5" ht="22" customHeight="1" x14ac:dyDescent="0.25">
      <c r="A16" s="16" t="s">
        <v>506</v>
      </c>
      <c r="B16" s="39" t="s">
        <v>5</v>
      </c>
      <c r="C16" s="92" t="s">
        <v>564</v>
      </c>
      <c r="D16" s="92"/>
      <c r="E16" s="92"/>
    </row>
    <row r="17" spans="1:5" ht="22" customHeight="1" x14ac:dyDescent="0.25">
      <c r="A17" s="16" t="s">
        <v>507</v>
      </c>
      <c r="B17" s="39" t="s">
        <v>6</v>
      </c>
      <c r="C17" s="92" t="s">
        <v>7</v>
      </c>
      <c r="D17" s="92"/>
      <c r="E17" s="92"/>
    </row>
    <row r="18" spans="1:5" ht="22" customHeight="1" x14ac:dyDescent="0.25">
      <c r="A18" s="16" t="s">
        <v>508</v>
      </c>
      <c r="B18" s="39" t="s">
        <v>8</v>
      </c>
      <c r="C18" s="92" t="s">
        <v>8</v>
      </c>
      <c r="D18" s="92"/>
      <c r="E18" s="92"/>
    </row>
    <row r="19" spans="1:5" ht="22" customHeight="1" x14ac:dyDescent="0.25">
      <c r="A19" s="16" t="s">
        <v>509</v>
      </c>
      <c r="B19" s="39" t="s">
        <v>9</v>
      </c>
      <c r="C19" s="92" t="s">
        <v>9</v>
      </c>
      <c r="D19" s="92"/>
      <c r="E19" s="92"/>
    </row>
    <row r="20" spans="1:5" ht="22" customHeight="1" x14ac:dyDescent="0.25">
      <c r="A20" s="16" t="s">
        <v>510</v>
      </c>
      <c r="B20" s="39" t="s">
        <v>10</v>
      </c>
      <c r="C20" s="92" t="s">
        <v>11</v>
      </c>
      <c r="D20" s="92"/>
      <c r="E20" s="92"/>
    </row>
    <row r="21" spans="1:5" ht="22" customHeight="1" x14ac:dyDescent="0.25">
      <c r="A21" s="16" t="s">
        <v>511</v>
      </c>
      <c r="B21" s="39" t="s">
        <v>12</v>
      </c>
      <c r="C21" s="92" t="s">
        <v>2</v>
      </c>
      <c r="D21" s="92"/>
      <c r="E21" s="92"/>
    </row>
    <row r="22" spans="1:5" ht="24" customHeight="1" x14ac:dyDescent="0.25">
      <c r="A22" s="83" t="s">
        <v>725</v>
      </c>
      <c r="B22" s="84"/>
      <c r="C22" s="84"/>
      <c r="D22" s="84"/>
      <c r="E22" s="85"/>
    </row>
    <row r="23" spans="1:5" ht="22" customHeight="1" x14ac:dyDescent="0.25">
      <c r="A23" s="16" t="s">
        <v>512</v>
      </c>
      <c r="B23" s="39" t="s">
        <v>640</v>
      </c>
      <c r="C23" s="96" t="s">
        <v>639</v>
      </c>
      <c r="D23" s="96"/>
      <c r="E23" s="96"/>
    </row>
    <row r="24" spans="1:5" ht="22" customHeight="1" x14ac:dyDescent="0.25">
      <c r="A24" s="16" t="s">
        <v>513</v>
      </c>
      <c r="B24" s="39" t="s">
        <v>125</v>
      </c>
      <c r="C24" s="97" t="s">
        <v>126</v>
      </c>
      <c r="D24" s="98"/>
      <c r="E24" s="99"/>
    </row>
    <row r="25" spans="1:5" ht="36" customHeight="1" x14ac:dyDescent="0.25">
      <c r="A25" s="79" t="s">
        <v>588</v>
      </c>
      <c r="B25" s="79"/>
      <c r="C25" s="36" t="s">
        <v>15</v>
      </c>
      <c r="D25" s="40" t="s">
        <v>16</v>
      </c>
      <c r="E25" s="41" t="s">
        <v>17</v>
      </c>
    </row>
    <row r="26" spans="1:5" ht="48" customHeight="1" x14ac:dyDescent="0.25">
      <c r="A26" s="82" t="s">
        <v>674</v>
      </c>
      <c r="B26" s="82"/>
      <c r="C26" s="82"/>
      <c r="D26" s="82"/>
      <c r="E26" s="82"/>
    </row>
    <row r="27" spans="1:5" ht="54" customHeight="1" x14ac:dyDescent="0.25">
      <c r="A27" s="16" t="s">
        <v>589</v>
      </c>
      <c r="B27" s="39" t="s">
        <v>599</v>
      </c>
      <c r="C27" s="12"/>
      <c r="D27" s="30"/>
      <c r="E27" s="28"/>
    </row>
    <row r="28" spans="1:5" ht="64" customHeight="1" x14ac:dyDescent="0.25">
      <c r="A28" s="16" t="s">
        <v>590</v>
      </c>
      <c r="B28" s="39" t="s">
        <v>601</v>
      </c>
      <c r="C28" s="31" t="s">
        <v>595</v>
      </c>
      <c r="D28" s="30" t="s">
        <v>598</v>
      </c>
      <c r="E28" s="29"/>
    </row>
    <row r="29" spans="1:5" ht="64" customHeight="1" x14ac:dyDescent="0.25">
      <c r="A29" s="16" t="s">
        <v>597</v>
      </c>
      <c r="B29" s="39" t="s">
        <v>1080</v>
      </c>
      <c r="C29" s="12" t="s">
        <v>593</v>
      </c>
      <c r="D29" s="30" t="s">
        <v>598</v>
      </c>
      <c r="E29" s="28"/>
    </row>
    <row r="30" spans="1:5" ht="48" customHeight="1" x14ac:dyDescent="0.25">
      <c r="A30" s="16" t="s">
        <v>600</v>
      </c>
      <c r="B30" s="39" t="s">
        <v>602</v>
      </c>
      <c r="C30" s="12" t="s">
        <v>593</v>
      </c>
      <c r="D30" s="30" t="s">
        <v>598</v>
      </c>
      <c r="E30" s="29"/>
    </row>
    <row r="31" spans="1:5" ht="36" customHeight="1" x14ac:dyDescent="0.25">
      <c r="A31" s="79" t="s">
        <v>13</v>
      </c>
      <c r="B31" s="79"/>
      <c r="C31" s="36"/>
      <c r="D31" s="37"/>
      <c r="E31" s="38"/>
    </row>
    <row r="32" spans="1:5" ht="48" customHeight="1" x14ac:dyDescent="0.25">
      <c r="A32" s="82" t="s">
        <v>668</v>
      </c>
      <c r="B32" s="82"/>
      <c r="C32" s="82"/>
      <c r="D32" s="82"/>
      <c r="E32" s="82"/>
    </row>
    <row r="33" spans="1:5" ht="37" customHeight="1" x14ac:dyDescent="0.25">
      <c r="A33" s="79" t="s">
        <v>14</v>
      </c>
      <c r="B33" s="79"/>
      <c r="C33" s="36" t="s">
        <v>15</v>
      </c>
      <c r="D33" s="36" t="s">
        <v>16</v>
      </c>
      <c r="E33" s="7" t="s">
        <v>17</v>
      </c>
    </row>
    <row r="34" spans="1:5" ht="48" customHeight="1" x14ac:dyDescent="0.25">
      <c r="A34" s="82" t="s">
        <v>669</v>
      </c>
      <c r="B34" s="82"/>
      <c r="C34" s="82"/>
      <c r="D34" s="82"/>
      <c r="E34" s="82"/>
    </row>
    <row r="35" spans="1:5" ht="48" customHeight="1" x14ac:dyDescent="0.25">
      <c r="A35" s="16" t="s">
        <v>215</v>
      </c>
      <c r="B35" s="42" t="s">
        <v>123</v>
      </c>
      <c r="C35" s="12"/>
      <c r="D35" s="43"/>
      <c r="E35" s="9" t="str">
        <f>IF(C35="","",IF(C35="Yes","You are required to complete the questions in the HIPAA section.","Responses to the questions in the HIPAA section are optional."))</f>
        <v/>
      </c>
    </row>
    <row r="36" spans="1:5" ht="48" customHeight="1" x14ac:dyDescent="0.25">
      <c r="A36" s="16" t="s">
        <v>216</v>
      </c>
      <c r="B36" s="42" t="s">
        <v>678</v>
      </c>
      <c r="C36" s="12"/>
      <c r="D36" s="43"/>
      <c r="E36" s="9" t="str">
        <f>IF(C36="","",IF(C36="Yes","You are required to complete the questions in the Mobile Application section.","Responses to the questions in the Mobile Application section are optional."))</f>
        <v/>
      </c>
    </row>
    <row r="37" spans="1:5" ht="48" customHeight="1" x14ac:dyDescent="0.25">
      <c r="A37" s="16" t="s">
        <v>217</v>
      </c>
      <c r="B37" s="42" t="s">
        <v>641</v>
      </c>
      <c r="C37" s="12"/>
      <c r="D37" s="43"/>
      <c r="E37" s="9" t="str">
        <f>IF(C37="","",IF(C37="Yes","You are required to complete the questions in the Third Parties section.","Responses to the questions in the Third Parties section are optional."))</f>
        <v/>
      </c>
    </row>
    <row r="38" spans="1:5" ht="48" customHeight="1" x14ac:dyDescent="0.25">
      <c r="A38" s="16" t="s">
        <v>218</v>
      </c>
      <c r="B38" s="42" t="s">
        <v>203</v>
      </c>
      <c r="C38" s="12"/>
      <c r="D38" s="43"/>
      <c r="E38" s="9" t="str">
        <f>IF(C38="","",IF(C38="Yes","You are required to complete the questions in the Business Continuity section.","Responses to the questions in the Business Continuity section are optional."))</f>
        <v/>
      </c>
    </row>
    <row r="39" spans="1:5" ht="48" customHeight="1" x14ac:dyDescent="0.25">
      <c r="A39" s="16" t="s">
        <v>219</v>
      </c>
      <c r="B39" s="42" t="s">
        <v>204</v>
      </c>
      <c r="C39" s="12"/>
      <c r="D39" s="43"/>
      <c r="E39" s="9" t="str">
        <f>IF(C39="","",IF(C39="Yes","You are required to complete the questions in the Disaster Recovery section.","Responses to the questions in the Disaster Recovery section are optional."))</f>
        <v/>
      </c>
    </row>
    <row r="40" spans="1:5" ht="48" customHeight="1" x14ac:dyDescent="0.25">
      <c r="A40" s="16" t="s">
        <v>220</v>
      </c>
      <c r="B40" s="42" t="s">
        <v>18</v>
      </c>
      <c r="C40" s="12"/>
      <c r="D40" s="13"/>
      <c r="E40" s="9" t="str">
        <f>IF(C40="","",IF(C40="Yes","You are required to complete the questions in the PCI DSS section.","Responses to the questions in the PCI DSS section are optional."))</f>
        <v/>
      </c>
    </row>
    <row r="41" spans="1:5" ht="48" customHeight="1" x14ac:dyDescent="0.25">
      <c r="A41" s="16" t="s">
        <v>221</v>
      </c>
      <c r="B41" s="42" t="s">
        <v>642</v>
      </c>
      <c r="C41" s="12"/>
      <c r="D41" s="13"/>
      <c r="E41" s="9" t="str">
        <f>IF(C41="","",IF(C41="Yes","You are required to complete the questions in the Consulting section. All questions after the Consulting section are OPTIONAL.","Responses to the questions in the Consulting section are optional."))</f>
        <v/>
      </c>
    </row>
    <row r="42" spans="1:5" ht="36" customHeight="1" x14ac:dyDescent="0.25">
      <c r="A42" s="79" t="s">
        <v>20</v>
      </c>
      <c r="B42" s="79"/>
      <c r="C42" s="36" t="s">
        <v>15</v>
      </c>
      <c r="D42" s="36" t="s">
        <v>16</v>
      </c>
      <c r="E42" s="7" t="s">
        <v>17</v>
      </c>
    </row>
    <row r="43" spans="1:5" ht="64" customHeight="1" x14ac:dyDescent="0.25">
      <c r="A43" s="16" t="s">
        <v>222</v>
      </c>
      <c r="B43" s="44" t="s">
        <v>21</v>
      </c>
      <c r="C43" s="12"/>
      <c r="D43" s="43"/>
      <c r="E43" s="10" t="str">
        <f>IF(C43="","",IF(C43="Yes","Provide the date of assessment and include a SOC 2 Type 2 (preferred) or SOC 3 report. If you have a SOC3 report, include a URL for the published report.","Describe any plans to undergo a SSAE 16 audit."))</f>
        <v/>
      </c>
    </row>
    <row r="44" spans="1:5" ht="48" customHeight="1" x14ac:dyDescent="0.25">
      <c r="A44" s="16" t="s">
        <v>223</v>
      </c>
      <c r="B44" s="44" t="s">
        <v>173</v>
      </c>
      <c r="C44" s="12"/>
      <c r="D44" s="43"/>
      <c r="E44" s="10" t="str">
        <f>IF(C44="","",IF(C44="Yes","Please include a copy with your response and include a URL for the published assessment.","Describe any plans to complete the CSA self assessment or CAIQ."))</f>
        <v/>
      </c>
    </row>
    <row r="45" spans="1:5" ht="48" customHeight="1" x14ac:dyDescent="0.25">
      <c r="A45" s="16" t="s">
        <v>224</v>
      </c>
      <c r="B45" s="44" t="s">
        <v>22</v>
      </c>
      <c r="C45" s="12"/>
      <c r="D45" s="43"/>
      <c r="E45" s="9" t="str">
        <f>IF(C45="","",IF(C45="Yes","Provide date of certification, any supporting documentation, and a URL for the certification.","Describe any plans to obtain CSA STAR certification."))</f>
        <v/>
      </c>
    </row>
    <row r="46" spans="1:5" ht="64" customHeight="1" x14ac:dyDescent="0.25">
      <c r="A46" s="16" t="s">
        <v>225</v>
      </c>
      <c r="B46" s="44" t="s">
        <v>515</v>
      </c>
      <c r="C46" s="12"/>
      <c r="D46" s="13"/>
      <c r="E46" s="9" t="str">
        <f>IF(C46="","",IF(C46="Yes","Provide documentation on how your organization conforms to each framework and indicate current certification levels where appropriate.","Describe any plans to conform to an industry standard security framework."))</f>
        <v/>
      </c>
    </row>
    <row r="47" spans="1:5" ht="48" customHeight="1" x14ac:dyDescent="0.25">
      <c r="A47" s="16" t="s">
        <v>226</v>
      </c>
      <c r="B47" s="44" t="s">
        <v>174</v>
      </c>
      <c r="C47" s="12"/>
      <c r="D47" s="13"/>
      <c r="E47" s="9" t="str">
        <f>IF(C47="","",IF(C47="Yes","Indicate level, agency issuing ATO, and necessary details on ATO. If using FEDRamp, please indicate the supporting details.","Describe any plans to become FISMA compliant."))</f>
        <v/>
      </c>
    </row>
    <row r="48" spans="1:5" ht="48" customHeight="1" x14ac:dyDescent="0.25">
      <c r="A48" s="16" t="s">
        <v>227</v>
      </c>
      <c r="B48" s="44" t="s">
        <v>565</v>
      </c>
      <c r="C48" s="12"/>
      <c r="D48" s="13"/>
      <c r="E48" s="9" t="str">
        <f>IF(C48="","",IF(C48="Yes","Provide your data privacy document upon submission.","Describe plans to provide a data privacy document."))</f>
        <v/>
      </c>
    </row>
    <row r="49" spans="1:5" ht="36" customHeight="1" x14ac:dyDescent="0.25">
      <c r="A49" s="79" t="s">
        <v>199</v>
      </c>
      <c r="B49" s="79"/>
      <c r="C49" s="36" t="s">
        <v>15</v>
      </c>
      <c r="D49" s="36" t="s">
        <v>16</v>
      </c>
      <c r="E49" s="7" t="s">
        <v>17</v>
      </c>
    </row>
    <row r="50" spans="1:5" ht="54" customHeight="1" x14ac:dyDescent="0.25">
      <c r="A50" s="16" t="s">
        <v>228</v>
      </c>
      <c r="B50" s="44" t="s">
        <v>200</v>
      </c>
      <c r="C50" s="80"/>
      <c r="D50" s="80"/>
      <c r="E50" s="9" t="str">
        <f>IF(C50="","","Include circumstances that may involve off-shoring or multi-national agreements.")</f>
        <v/>
      </c>
    </row>
    <row r="51" spans="1:5" ht="54" customHeight="1" x14ac:dyDescent="0.25">
      <c r="A51" s="16" t="s">
        <v>229</v>
      </c>
      <c r="B51" s="44" t="s">
        <v>202</v>
      </c>
      <c r="C51" s="80"/>
      <c r="D51" s="80"/>
      <c r="E51" s="9" t="str">
        <f>IF(C51="","","")</f>
        <v/>
      </c>
    </row>
    <row r="52" spans="1:5" ht="54" customHeight="1" x14ac:dyDescent="0.25">
      <c r="A52" s="16" t="s">
        <v>230</v>
      </c>
      <c r="B52" s="44" t="s">
        <v>566</v>
      </c>
      <c r="C52" s="80"/>
      <c r="D52" s="80"/>
      <c r="E52" s="9" t="str">
        <f t="shared" ref="E52:E55" si="0">IF(C52="","","")</f>
        <v/>
      </c>
    </row>
    <row r="53" spans="1:5" ht="64" customHeight="1" x14ac:dyDescent="0.25">
      <c r="A53" s="16" t="s">
        <v>231</v>
      </c>
      <c r="B53" s="44" t="s">
        <v>201</v>
      </c>
      <c r="C53" s="80"/>
      <c r="D53" s="80"/>
      <c r="E53" s="9" t="str">
        <f t="shared" si="0"/>
        <v/>
      </c>
    </row>
    <row r="54" spans="1:5" ht="54" customHeight="1" x14ac:dyDescent="0.25">
      <c r="A54" s="16" t="s">
        <v>232</v>
      </c>
      <c r="B54" s="44" t="s">
        <v>679</v>
      </c>
      <c r="C54" s="80"/>
      <c r="D54" s="80"/>
      <c r="E54" s="9" t="str">
        <f t="shared" si="0"/>
        <v/>
      </c>
    </row>
    <row r="55" spans="1:5" ht="64" customHeight="1" x14ac:dyDescent="0.25">
      <c r="A55" s="16" t="s">
        <v>233</v>
      </c>
      <c r="B55" s="44" t="s">
        <v>680</v>
      </c>
      <c r="C55" s="80"/>
      <c r="D55" s="80"/>
      <c r="E55" s="9" t="str">
        <f t="shared" si="0"/>
        <v/>
      </c>
    </row>
    <row r="56" spans="1:5" ht="83" customHeight="1" x14ac:dyDescent="0.25">
      <c r="A56" s="16" t="s">
        <v>496</v>
      </c>
      <c r="B56" s="44" t="s">
        <v>497</v>
      </c>
      <c r="C56" s="80"/>
      <c r="D56" s="80"/>
      <c r="E56" s="9" t="str">
        <f t="shared" ref="E56" si="1">IF(C56="","","")</f>
        <v/>
      </c>
    </row>
    <row r="57" spans="1:5" ht="36" customHeight="1" x14ac:dyDescent="0.25">
      <c r="A57" s="79" t="str">
        <f>IF($C$37="No","Third Parties - Optional based on QUALIFIER response.","Third Parties")</f>
        <v>Third Parties</v>
      </c>
      <c r="B57" s="79"/>
      <c r="C57" s="36" t="s">
        <v>15</v>
      </c>
      <c r="D57" s="36" t="s">
        <v>16</v>
      </c>
      <c r="E57" s="7" t="s">
        <v>17</v>
      </c>
    </row>
    <row r="58" spans="1:5" ht="96" customHeight="1" x14ac:dyDescent="0.25">
      <c r="A58" s="16" t="s">
        <v>234</v>
      </c>
      <c r="B58" s="44" t="s">
        <v>175</v>
      </c>
      <c r="C58" s="80"/>
      <c r="D58" s="80"/>
      <c r="E58" s="9" t="str">
        <f>IF(C58="","","")</f>
        <v/>
      </c>
    </row>
    <row r="59" spans="1:5" ht="80" customHeight="1" x14ac:dyDescent="0.25">
      <c r="A59" s="16" t="s">
        <v>235</v>
      </c>
      <c r="B59" s="44" t="s">
        <v>643</v>
      </c>
      <c r="C59" s="80"/>
      <c r="D59" s="80"/>
      <c r="E59" s="9" t="str">
        <f t="shared" ref="E59:E60" si="2">IF(C59="","","")</f>
        <v/>
      </c>
    </row>
    <row r="60" spans="1:5" ht="80" customHeight="1" x14ac:dyDescent="0.25">
      <c r="A60" s="16" t="s">
        <v>236</v>
      </c>
      <c r="B60" s="44" t="s">
        <v>24</v>
      </c>
      <c r="C60" s="80"/>
      <c r="D60" s="80"/>
      <c r="E60" s="9" t="str">
        <f t="shared" si="2"/>
        <v/>
      </c>
    </row>
    <row r="61" spans="1:5" ht="80" customHeight="1" x14ac:dyDescent="0.25">
      <c r="A61" s="16" t="s">
        <v>495</v>
      </c>
      <c r="B61" s="44" t="s">
        <v>514</v>
      </c>
      <c r="C61" s="80"/>
      <c r="D61" s="80"/>
      <c r="E61" s="9" t="str">
        <f t="shared" ref="E61" si="3">IF(C61="","","")</f>
        <v/>
      </c>
    </row>
    <row r="62" spans="1:5" ht="36" customHeight="1" x14ac:dyDescent="0.25">
      <c r="A62" s="79" t="str">
        <f>IF($C$41="","Consulting",IF($C$41="Yes","Consulting - All questions after this section are OPTIONAL.","Consulting - Optional based on QUALIFIER response."))</f>
        <v>Consulting</v>
      </c>
      <c r="B62" s="79"/>
      <c r="C62" s="36" t="s">
        <v>15</v>
      </c>
      <c r="D62" s="36" t="s">
        <v>16</v>
      </c>
      <c r="E62" s="7" t="s">
        <v>17</v>
      </c>
    </row>
    <row r="63" spans="1:5" ht="36" customHeight="1" x14ac:dyDescent="0.25">
      <c r="A63" s="16" t="s">
        <v>237</v>
      </c>
      <c r="B63" s="44" t="s">
        <v>25</v>
      </c>
      <c r="C63" s="12"/>
      <c r="D63" s="43"/>
      <c r="E63" s="10" t="str">
        <f>IF(C63="","",IF(C63="Yes","",""))</f>
        <v/>
      </c>
    </row>
    <row r="64" spans="1:5" ht="63" customHeight="1" x14ac:dyDescent="0.25">
      <c r="A64" s="16" t="s">
        <v>238</v>
      </c>
      <c r="B64" s="44" t="s">
        <v>681</v>
      </c>
      <c r="C64" s="12"/>
      <c r="D64" s="43"/>
      <c r="E64" s="10" t="str">
        <f t="shared" ref="E64:E71" si="4">IF(C64="","",IF(C64="Yes","",""))</f>
        <v/>
      </c>
    </row>
    <row r="65" spans="1:256" ht="63" customHeight="1" x14ac:dyDescent="0.25">
      <c r="A65" s="16" t="s">
        <v>239</v>
      </c>
      <c r="B65" s="44" t="s">
        <v>682</v>
      </c>
      <c r="C65" s="12"/>
      <c r="D65" s="43"/>
      <c r="E65" s="10" t="str">
        <f t="shared" si="4"/>
        <v/>
      </c>
    </row>
    <row r="66" spans="1:256" ht="48" customHeight="1" x14ac:dyDescent="0.25">
      <c r="A66" s="16" t="s">
        <v>240</v>
      </c>
      <c r="B66" s="44" t="s">
        <v>683</v>
      </c>
      <c r="C66" s="12"/>
      <c r="D66" s="13"/>
      <c r="E66" s="10" t="str">
        <f t="shared" si="4"/>
        <v/>
      </c>
    </row>
    <row r="67" spans="1:256" ht="48" customHeight="1" x14ac:dyDescent="0.25">
      <c r="A67" s="16" t="s">
        <v>241</v>
      </c>
      <c r="B67" s="44" t="s">
        <v>559</v>
      </c>
      <c r="C67" s="12"/>
      <c r="D67" s="13"/>
      <c r="E67" s="10" t="str">
        <f t="shared" si="4"/>
        <v/>
      </c>
    </row>
    <row r="68" spans="1:256" ht="48" customHeight="1" x14ac:dyDescent="0.25">
      <c r="A68" s="16" t="s">
        <v>242</v>
      </c>
      <c r="B68" s="44" t="s">
        <v>567</v>
      </c>
      <c r="C68" s="12"/>
      <c r="D68" s="13"/>
      <c r="E68" s="10" t="str">
        <f t="shared" si="4"/>
        <v/>
      </c>
    </row>
    <row r="69" spans="1:256" ht="36" customHeight="1" x14ac:dyDescent="0.25">
      <c r="A69" s="16" t="s">
        <v>243</v>
      </c>
      <c r="B69" s="44" t="s">
        <v>568</v>
      </c>
      <c r="C69" s="80"/>
      <c r="D69" s="80"/>
      <c r="E69" s="10" t="str">
        <f>IF(C69="","",IF(C69="Yes","",""))</f>
        <v/>
      </c>
    </row>
    <row r="70" spans="1:256" s="1" customFormat="1" ht="48" customHeight="1" x14ac:dyDescent="0.3">
      <c r="A70" s="16" t="s">
        <v>244</v>
      </c>
      <c r="B70" s="44" t="s">
        <v>569</v>
      </c>
      <c r="C70" s="12"/>
      <c r="D70" s="13"/>
      <c r="E70" s="10" t="str">
        <f t="shared" si="4"/>
        <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36" customHeight="1" x14ac:dyDescent="0.25">
      <c r="A71" s="16" t="s">
        <v>245</v>
      </c>
      <c r="B71" s="44" t="s">
        <v>684</v>
      </c>
      <c r="C71" s="12"/>
      <c r="D71" s="13"/>
      <c r="E71" s="10" t="str">
        <f t="shared" si="4"/>
        <v/>
      </c>
    </row>
    <row r="72" spans="1:256" ht="36" customHeight="1" x14ac:dyDescent="0.25">
      <c r="A72" s="16" t="s">
        <v>246</v>
      </c>
      <c r="B72" s="44" t="s">
        <v>26</v>
      </c>
      <c r="C72" s="80"/>
      <c r="D72" s="80"/>
      <c r="E72" s="9" t="str">
        <f>IF(C72="","","")</f>
        <v/>
      </c>
    </row>
    <row r="73" spans="1:256" s="1" customFormat="1" ht="36" customHeight="1" x14ac:dyDescent="0.3">
      <c r="A73" s="16" t="s">
        <v>247</v>
      </c>
      <c r="B73" s="44" t="s">
        <v>27</v>
      </c>
      <c r="C73" s="80"/>
      <c r="D73" s="80"/>
      <c r="E73" s="9" t="str">
        <f>IF(C73="","","")</f>
        <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36" customHeight="1" x14ac:dyDescent="0.25">
      <c r="A74" s="79" t="str">
        <f>IF($C$41="","Application/Service Security",IF($C$41="Yes","App/Service Security - Optional based on QUALIFIER response.","Application/Service Security"))</f>
        <v>Application/Service Security</v>
      </c>
      <c r="B74" s="79"/>
      <c r="C74" s="36" t="s">
        <v>15</v>
      </c>
      <c r="D74" s="36" t="s">
        <v>16</v>
      </c>
      <c r="E74" s="7" t="s">
        <v>17</v>
      </c>
    </row>
    <row r="75" spans="1:256" ht="49" customHeight="1" x14ac:dyDescent="0.25">
      <c r="A75" s="16" t="s">
        <v>248</v>
      </c>
      <c r="B75" s="44" t="s">
        <v>28</v>
      </c>
      <c r="C75" s="12"/>
      <c r="D75" s="13"/>
      <c r="E75" s="9" t="str">
        <f>IF(C75="","",IF(C75="Yes","Describe any infrastructure dependencies.","Describe any limitations that prevent virtualization."))</f>
        <v/>
      </c>
    </row>
    <row r="76" spans="1:256" ht="48" customHeight="1" x14ac:dyDescent="0.25">
      <c r="A76" s="16" t="s">
        <v>249</v>
      </c>
      <c r="B76" s="44" t="s">
        <v>644</v>
      </c>
      <c r="C76" s="12"/>
      <c r="D76" s="13"/>
      <c r="E76" s="9" t="str">
        <f>IF(C76="","",IF(C76="Yes","Describe the utilized technology.","Describe any plans to virtualize your environment hosting Institution data."))</f>
        <v/>
      </c>
    </row>
    <row r="77" spans="1:256" ht="48" customHeight="1" x14ac:dyDescent="0.25">
      <c r="A77" s="16" t="s">
        <v>685</v>
      </c>
      <c r="B77" s="44" t="s">
        <v>29</v>
      </c>
      <c r="C77" s="12"/>
      <c r="D77" s="13"/>
      <c r="E77" s="9" t="str">
        <f>IF(C77="","",IF(C77="Yes","If available, submit documentation and/or web resources.","Provide details that prevent this capability."))</f>
        <v/>
      </c>
    </row>
    <row r="78" spans="1:256" ht="80" customHeight="1" x14ac:dyDescent="0.25">
      <c r="A78" s="16" t="s">
        <v>250</v>
      </c>
      <c r="B78" s="44" t="s">
        <v>516</v>
      </c>
      <c r="C78" s="80"/>
      <c r="D78" s="80"/>
      <c r="E78" s="9" t="str">
        <f>IF(C78="","","")</f>
        <v/>
      </c>
    </row>
    <row r="79" spans="1:256" ht="63" customHeight="1" x14ac:dyDescent="0.25">
      <c r="A79" s="16" t="s">
        <v>251</v>
      </c>
      <c r="B79" s="39" t="s">
        <v>30</v>
      </c>
      <c r="C79" s="80"/>
      <c r="D79" s="80"/>
      <c r="E79" s="11" t="str">
        <f>IF(C79="","","")</f>
        <v/>
      </c>
    </row>
    <row r="80" spans="1:256" ht="36" customHeight="1" x14ac:dyDescent="0.25">
      <c r="A80" s="16" t="s">
        <v>252</v>
      </c>
      <c r="B80" s="39" t="s">
        <v>687</v>
      </c>
      <c r="C80" s="12"/>
      <c r="D80" s="45"/>
      <c r="E80" s="11" t="str">
        <f>IF(C80="","",IF(C80="Yes","",""))</f>
        <v/>
      </c>
    </row>
    <row r="81" spans="1:256" ht="80" customHeight="1" x14ac:dyDescent="0.25">
      <c r="A81" s="16" t="s">
        <v>253</v>
      </c>
      <c r="B81" s="39" t="s">
        <v>645</v>
      </c>
      <c r="C81" s="80"/>
      <c r="D81" s="80"/>
      <c r="E81" s="11" t="str">
        <f>IF(C81="","","")</f>
        <v/>
      </c>
    </row>
    <row r="82" spans="1:256" s="1" customFormat="1" ht="80" customHeight="1" x14ac:dyDescent="0.3">
      <c r="A82" s="16" t="s">
        <v>254</v>
      </c>
      <c r="B82" s="44" t="s">
        <v>721</v>
      </c>
      <c r="C82" s="80"/>
      <c r="D82" s="80"/>
      <c r="E82" s="9" t="str">
        <f>IF(C82="","","List all operating systems and the roles that are fulfilled by each.")</f>
        <v/>
      </c>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72" customHeight="1" x14ac:dyDescent="0.25">
      <c r="A83" s="16" t="s">
        <v>255</v>
      </c>
      <c r="B83" s="44" t="s">
        <v>646</v>
      </c>
      <c r="C83" s="12"/>
      <c r="D83" s="13"/>
      <c r="E83" s="9" t="str">
        <f>IF(C83="","",IF(C83="Yes","Describe the conditions of this breach and how was the investigation and response was managed in conjunction with the customer.",""))</f>
        <v/>
      </c>
    </row>
    <row r="84" spans="1:256" ht="64" customHeight="1" x14ac:dyDescent="0.25">
      <c r="A84" s="16" t="s">
        <v>256</v>
      </c>
      <c r="B84" s="44" t="s">
        <v>517</v>
      </c>
      <c r="C84" s="80"/>
      <c r="D84" s="80"/>
      <c r="E84" s="9" t="str">
        <f>IF(C84="","","Describe the products and how they will be implemented.")</f>
        <v/>
      </c>
    </row>
    <row r="85" spans="1:256" ht="64" customHeight="1" x14ac:dyDescent="0.25">
      <c r="A85" s="16" t="s">
        <v>257</v>
      </c>
      <c r="B85" s="44" t="s">
        <v>518</v>
      </c>
      <c r="C85" s="80"/>
      <c r="D85" s="80"/>
      <c r="E85" s="9" t="str">
        <f>IF(C85="","","")</f>
        <v/>
      </c>
    </row>
    <row r="86" spans="1:256" ht="48" customHeight="1" x14ac:dyDescent="0.25">
      <c r="A86" s="16" t="s">
        <v>258</v>
      </c>
      <c r="B86" s="44" t="s">
        <v>617</v>
      </c>
      <c r="C86" s="12"/>
      <c r="D86" s="13"/>
      <c r="E86" s="9" t="str">
        <f>IF(C86="","",IF(C86="Yes","Provide a brief description.","Provide a detailed description of the database and front-end system relationship."))</f>
        <v/>
      </c>
    </row>
    <row r="87" spans="1:256" ht="65" customHeight="1" x14ac:dyDescent="0.25">
      <c r="A87" s="16" t="s">
        <v>259</v>
      </c>
      <c r="B87" s="44" t="s">
        <v>519</v>
      </c>
      <c r="C87" s="80"/>
      <c r="D87" s="80"/>
      <c r="E87" s="9" t="str">
        <f>IF(C50="","","Include user-end and adminstrative features and functionality.")</f>
        <v/>
      </c>
    </row>
    <row r="88" spans="1:256" ht="65" customHeight="1" x14ac:dyDescent="0.25">
      <c r="A88" s="16" t="s">
        <v>260</v>
      </c>
      <c r="B88" s="44" t="s">
        <v>520</v>
      </c>
      <c r="C88" s="80"/>
      <c r="D88" s="80"/>
      <c r="E88" s="9" t="str">
        <f>IF(C88="","","")</f>
        <v/>
      </c>
    </row>
    <row r="89" spans="1:256" ht="63" customHeight="1" x14ac:dyDescent="0.25">
      <c r="A89" s="16" t="s">
        <v>686</v>
      </c>
      <c r="B89" s="44" t="s">
        <v>146</v>
      </c>
      <c r="C89" s="12"/>
      <c r="D89" s="13"/>
      <c r="E89" s="9" t="str">
        <f>IF(C89="","",IF(C89="Yes","Provide a detailed description of system capabilities and how security is ensured.",""))</f>
        <v/>
      </c>
    </row>
    <row r="90" spans="1:256" ht="65" customHeight="1" x14ac:dyDescent="0.25">
      <c r="A90" s="16" t="s">
        <v>261</v>
      </c>
      <c r="B90" s="44" t="s">
        <v>521</v>
      </c>
      <c r="C90" s="80"/>
      <c r="D90" s="80"/>
      <c r="E90" s="9" t="str">
        <f>IF(C90="","","")</f>
        <v/>
      </c>
    </row>
    <row r="91" spans="1:256" ht="65" customHeight="1" x14ac:dyDescent="0.25">
      <c r="A91" s="16" t="s">
        <v>262</v>
      </c>
      <c r="B91" s="44" t="s">
        <v>618</v>
      </c>
      <c r="C91" s="80"/>
      <c r="D91" s="80"/>
      <c r="E91" s="9" t="str">
        <f>IF(C91="","","")</f>
        <v/>
      </c>
    </row>
    <row r="92" spans="1:256" ht="48" customHeight="1" x14ac:dyDescent="0.25">
      <c r="A92" s="16" t="s">
        <v>263</v>
      </c>
      <c r="B92" s="44" t="s">
        <v>43</v>
      </c>
      <c r="C92" s="12"/>
      <c r="D92" s="13"/>
      <c r="E92" s="9" t="str">
        <f>IF(C92="","",IF(C92="Yes","If available, submit documentation and/or web resources.","Decribe any plans to enable input validation and error management."))</f>
        <v/>
      </c>
    </row>
    <row r="93" spans="1:256" ht="48" customHeight="1" x14ac:dyDescent="0.25">
      <c r="A93" s="16" t="s">
        <v>264</v>
      </c>
      <c r="B93" s="44" t="s">
        <v>688</v>
      </c>
      <c r="C93" s="12"/>
      <c r="D93" s="13"/>
      <c r="E93" s="9" t="str">
        <f>IF(C93="","",IF(C93="Multi-tenant","Describe the current multi-tenant environment.",""))</f>
        <v/>
      </c>
    </row>
    <row r="94" spans="1:256" ht="65" customHeight="1" x14ac:dyDescent="0.25">
      <c r="A94" s="16" t="s">
        <v>265</v>
      </c>
      <c r="B94" s="44" t="s">
        <v>616</v>
      </c>
      <c r="C94" s="80"/>
      <c r="D94" s="80"/>
      <c r="E94" s="9" t="str">
        <f>IF(C94="","","")</f>
        <v/>
      </c>
    </row>
    <row r="95" spans="1:256" ht="36" customHeight="1" x14ac:dyDescent="0.25">
      <c r="A95" s="79" t="str">
        <f>IF($C$41="","Authentication, Authorization, and Accounting",IF($C$41="Yes","AAA - Optional based on QUALIFIER response.","Authentication, Authorization, and Accounting"))</f>
        <v>Authentication, Authorization, and Accounting</v>
      </c>
      <c r="B95" s="79"/>
      <c r="C95" s="36" t="s">
        <v>15</v>
      </c>
      <c r="D95" s="36" t="s">
        <v>16</v>
      </c>
      <c r="E95" s="7" t="s">
        <v>17</v>
      </c>
    </row>
    <row r="96" spans="1:256" ht="36" customHeight="1" x14ac:dyDescent="0.25">
      <c r="A96" s="16" t="s">
        <v>267</v>
      </c>
      <c r="B96" s="44" t="s">
        <v>46</v>
      </c>
      <c r="C96" s="12"/>
      <c r="D96" s="13"/>
      <c r="E96" s="44" t="str">
        <f>IF(C96="","",IF(C96="Yes","",""))</f>
        <v/>
      </c>
    </row>
    <row r="97" spans="1:5" ht="48" customHeight="1" x14ac:dyDescent="0.25">
      <c r="A97" s="16" t="s">
        <v>268</v>
      </c>
      <c r="B97" s="44" t="s">
        <v>647</v>
      </c>
      <c r="C97" s="12"/>
      <c r="D97" s="13"/>
      <c r="E97" s="44" t="str">
        <f>IF(C97="","",IF(C97="Yes","",""))</f>
        <v/>
      </c>
    </row>
    <row r="98" spans="1:5" ht="48" customHeight="1" x14ac:dyDescent="0.25">
      <c r="A98" s="16" t="s">
        <v>269</v>
      </c>
      <c r="B98" s="44" t="s">
        <v>47</v>
      </c>
      <c r="C98" s="80"/>
      <c r="D98" s="80"/>
      <c r="E98" s="44" t="str">
        <f>IF(C98="","","")</f>
        <v/>
      </c>
    </row>
    <row r="99" spans="1:5" ht="65" customHeight="1" x14ac:dyDescent="0.25">
      <c r="A99" s="16" t="s">
        <v>270</v>
      </c>
      <c r="B99" s="44" t="s">
        <v>48</v>
      </c>
      <c r="C99" s="80"/>
      <c r="D99" s="80"/>
      <c r="E99" s="44" t="str">
        <f>IF(C99="","","")</f>
        <v/>
      </c>
    </row>
    <row r="100" spans="1:5" ht="65" customHeight="1" x14ac:dyDescent="0.25">
      <c r="A100" s="16" t="s">
        <v>271</v>
      </c>
      <c r="B100" s="44" t="s">
        <v>570</v>
      </c>
      <c r="C100" s="80"/>
      <c r="D100" s="80"/>
      <c r="E100" s="44" t="str">
        <f>IF(C100="","","Include user-end and adminstrative authentication types.")</f>
        <v/>
      </c>
    </row>
    <row r="101" spans="1:5" ht="48" customHeight="1" x14ac:dyDescent="0.25">
      <c r="A101" s="16" t="s">
        <v>272</v>
      </c>
      <c r="B101" s="44" t="s">
        <v>49</v>
      </c>
      <c r="C101" s="12"/>
      <c r="D101" s="13"/>
      <c r="E101" s="44" t="str">
        <f>IF(C101="","",IF(C101="Yes","Provide a detailed description.",""))</f>
        <v/>
      </c>
    </row>
    <row r="102" spans="1:5" ht="36" customHeight="1" x14ac:dyDescent="0.25">
      <c r="A102" s="16" t="s">
        <v>273</v>
      </c>
      <c r="B102" s="44" t="s">
        <v>50</v>
      </c>
      <c r="C102" s="12"/>
      <c r="D102" s="13"/>
      <c r="E102" s="44" t="str">
        <f>IF(C102="","",IF(C102="Yes","Provide a detailed description.",""))</f>
        <v/>
      </c>
    </row>
    <row r="103" spans="1:5" ht="36" customHeight="1" x14ac:dyDescent="0.25">
      <c r="A103" s="16" t="s">
        <v>274</v>
      </c>
      <c r="B103" s="44" t="s">
        <v>51</v>
      </c>
      <c r="C103" s="12"/>
      <c r="D103" s="13"/>
      <c r="E103" s="44" t="str">
        <f>IF(C103="","",IF(C103="Yes","",""))</f>
        <v/>
      </c>
    </row>
    <row r="104" spans="1:5" ht="64" customHeight="1" x14ac:dyDescent="0.25">
      <c r="A104" s="16" t="s">
        <v>275</v>
      </c>
      <c r="B104" s="44" t="s">
        <v>522</v>
      </c>
      <c r="C104" s="80"/>
      <c r="D104" s="80"/>
      <c r="E104" s="44" t="str">
        <f>IF(C104="","","")</f>
        <v/>
      </c>
    </row>
    <row r="105" spans="1:5" ht="47" customHeight="1" x14ac:dyDescent="0.25">
      <c r="A105" s="16" t="s">
        <v>276</v>
      </c>
      <c r="B105" s="44" t="s">
        <v>178</v>
      </c>
      <c r="C105" s="12"/>
      <c r="D105" s="13"/>
      <c r="E105" s="44" t="str">
        <f>IF(C105="","",IF(C105="Yes","Provide a brief description.","Describe any plans to provide Duo support."))</f>
        <v/>
      </c>
    </row>
    <row r="106" spans="1:5" ht="65" customHeight="1" x14ac:dyDescent="0.25">
      <c r="A106" s="16" t="s">
        <v>277</v>
      </c>
      <c r="B106" s="44" t="s">
        <v>177</v>
      </c>
      <c r="C106" s="87"/>
      <c r="D106" s="87"/>
      <c r="E106" s="44" t="str">
        <f>IF(C106="","","")</f>
        <v/>
      </c>
    </row>
    <row r="107" spans="1:5" ht="53" customHeight="1" x14ac:dyDescent="0.25">
      <c r="A107" s="16" t="s">
        <v>278</v>
      </c>
      <c r="B107" s="44" t="s">
        <v>648</v>
      </c>
      <c r="C107" s="12"/>
      <c r="D107" s="13"/>
      <c r="E107" s="44" t="str">
        <f>IF(C107="","",IF(C107="Yes","Provide a brief description.","Describe any plans to provide such integrations."))</f>
        <v/>
      </c>
    </row>
    <row r="108" spans="1:5" ht="47" customHeight="1" x14ac:dyDescent="0.25">
      <c r="A108" s="16" t="s">
        <v>279</v>
      </c>
      <c r="B108" s="44" t="s">
        <v>649</v>
      </c>
      <c r="C108" s="12"/>
      <c r="D108" s="13"/>
      <c r="E108" s="44" t="str">
        <f>IF(C108="","",IF(C108="Yes","Describe the utilized technology.",""))</f>
        <v/>
      </c>
    </row>
    <row r="109" spans="1:5" ht="54" customHeight="1" x14ac:dyDescent="0.25">
      <c r="A109" s="16" t="s">
        <v>280</v>
      </c>
      <c r="B109" s="44" t="s">
        <v>176</v>
      </c>
      <c r="C109" s="12"/>
      <c r="D109" s="13"/>
      <c r="E109" s="44" t="str">
        <f>IF(C109="","",IF(C109="Yes","Describe all authentication services the system supports.",""))</f>
        <v/>
      </c>
    </row>
    <row r="110" spans="1:5" ht="54" customHeight="1" x14ac:dyDescent="0.25">
      <c r="A110" s="16" t="s">
        <v>281</v>
      </c>
      <c r="B110" s="44" t="s">
        <v>122</v>
      </c>
      <c r="C110" s="12"/>
      <c r="D110" s="13"/>
      <c r="E110" s="44" t="str">
        <f>IF(C110="","",IF(C110="Yes","Provide a detailed description.",""))</f>
        <v/>
      </c>
    </row>
    <row r="111" spans="1:5" ht="47" customHeight="1" x14ac:dyDescent="0.25">
      <c r="A111" s="16" t="s">
        <v>282</v>
      </c>
      <c r="B111" s="44" t="s">
        <v>650</v>
      </c>
      <c r="C111" s="12"/>
      <c r="D111" s="13"/>
      <c r="E111" s="44" t="str">
        <f>IF(C111="","",IF(C111="Yes","Describe the utilized technology.",""))</f>
        <v/>
      </c>
    </row>
    <row r="112" spans="1:5" ht="48" customHeight="1" x14ac:dyDescent="0.25">
      <c r="A112" s="16" t="s">
        <v>283</v>
      </c>
      <c r="B112" s="44" t="s">
        <v>689</v>
      </c>
      <c r="C112" s="12"/>
      <c r="D112" s="13"/>
      <c r="E112" s="44" t="str">
        <f>IF(C112="","",IF(C112="Yes","Provide a description, if necessary.","Describe any plans to enable audit logs for these data elements."))</f>
        <v/>
      </c>
    </row>
    <row r="113" spans="1:5" ht="84" customHeight="1" x14ac:dyDescent="0.25">
      <c r="A113" s="16" t="s">
        <v>284</v>
      </c>
      <c r="B113" s="44" t="s">
        <v>619</v>
      </c>
      <c r="C113" s="80"/>
      <c r="D113" s="80"/>
      <c r="E113" s="44" t="str">
        <f>IF(C113="","","")</f>
        <v/>
      </c>
    </row>
    <row r="114" spans="1:5" ht="84" customHeight="1" x14ac:dyDescent="0.25">
      <c r="A114" s="16" t="s">
        <v>285</v>
      </c>
      <c r="B114" s="44" t="s">
        <v>523</v>
      </c>
      <c r="C114" s="80"/>
      <c r="D114" s="80"/>
      <c r="E114" s="44" t="str">
        <f>IF(C114="","","")</f>
        <v/>
      </c>
    </row>
    <row r="115" spans="1:5" ht="36" customHeight="1" x14ac:dyDescent="0.25">
      <c r="A115" s="79" t="str">
        <f>IF(OR($C$38="No",$C$41="Yes"),"BCP - Optional based on QUALIFIER response.","Business Continuity Plan")</f>
        <v>Business Continuity Plan</v>
      </c>
      <c r="B115" s="79"/>
      <c r="C115" s="36" t="s">
        <v>15</v>
      </c>
      <c r="D115" s="36" t="s">
        <v>16</v>
      </c>
      <c r="E115" s="7" t="s">
        <v>17</v>
      </c>
    </row>
    <row r="116" spans="1:5" ht="48" customHeight="1" x14ac:dyDescent="0.25">
      <c r="A116" s="16" t="s">
        <v>266</v>
      </c>
      <c r="B116" s="44" t="s">
        <v>691</v>
      </c>
      <c r="C116" s="80"/>
      <c r="D116" s="80"/>
      <c r="E116" s="44" t="str">
        <f>IF(C116="","","")</f>
        <v/>
      </c>
    </row>
    <row r="117" spans="1:5" ht="47" customHeight="1" x14ac:dyDescent="0.25">
      <c r="A117" s="16" t="s">
        <v>286</v>
      </c>
      <c r="B117" s="44" t="s">
        <v>159</v>
      </c>
      <c r="C117" s="12"/>
      <c r="D117" s="13"/>
      <c r="E117" s="44" t="str">
        <f>IF(C117="","",IF(C117="Yes","Provide details as necessary.",""))</f>
        <v/>
      </c>
    </row>
    <row r="118" spans="1:5" ht="47" customHeight="1" x14ac:dyDescent="0.25">
      <c r="A118" s="16" t="s">
        <v>287</v>
      </c>
      <c r="B118" s="44" t="s">
        <v>690</v>
      </c>
      <c r="C118" s="12"/>
      <c r="D118" s="13"/>
      <c r="E118" s="44" t="str">
        <f>IF(C118="","",IF(C118="Yes","Provide details as necessary.",""))</f>
        <v/>
      </c>
    </row>
    <row r="119" spans="1:5" ht="47" customHeight="1" x14ac:dyDescent="0.25">
      <c r="A119" s="16" t="s">
        <v>288</v>
      </c>
      <c r="B119" s="44" t="s">
        <v>162</v>
      </c>
      <c r="C119" s="12"/>
      <c r="D119" s="13"/>
      <c r="E119" s="44" t="str">
        <f>IF(C119="","",IF(C119="Yes","Provide a brief description.",""))</f>
        <v/>
      </c>
    </row>
    <row r="120" spans="1:5" ht="47" customHeight="1" x14ac:dyDescent="0.25">
      <c r="A120" s="16" t="s">
        <v>289</v>
      </c>
      <c r="B120" s="44" t="s">
        <v>163</v>
      </c>
      <c r="C120" s="12"/>
      <c r="D120" s="13"/>
      <c r="E120" s="44" t="str">
        <f>IF(C120="","",IF(C120="Yes","Provide a brief description.",""))</f>
        <v/>
      </c>
    </row>
    <row r="121" spans="1:5" ht="48" customHeight="1" x14ac:dyDescent="0.25">
      <c r="A121" s="16" t="s">
        <v>290</v>
      </c>
      <c r="B121" s="44" t="s">
        <v>692</v>
      </c>
      <c r="C121" s="12"/>
      <c r="D121" s="13"/>
      <c r="E121" s="44" t="str">
        <f>IF(C121="","",IF(C121="Yes","Provide a brief description.",""))</f>
        <v/>
      </c>
    </row>
    <row r="122" spans="1:5" ht="48" customHeight="1" x14ac:dyDescent="0.25">
      <c r="A122" s="16" t="s">
        <v>291</v>
      </c>
      <c r="B122" s="44" t="s">
        <v>693</v>
      </c>
      <c r="C122" s="80"/>
      <c r="D122" s="80"/>
      <c r="E122" s="44" t="str">
        <f>IF(C122="","","")</f>
        <v/>
      </c>
    </row>
    <row r="123" spans="1:5" ht="47" customHeight="1" x14ac:dyDescent="0.25">
      <c r="A123" s="16" t="s">
        <v>292</v>
      </c>
      <c r="B123" s="44" t="s">
        <v>164</v>
      </c>
      <c r="C123" s="12"/>
      <c r="D123" s="13"/>
      <c r="E123" s="44" t="str">
        <f>IF(C123="","",IF(C123="Yes","Provide a brief description.",""))</f>
        <v/>
      </c>
    </row>
    <row r="124" spans="1:5" ht="47" customHeight="1" x14ac:dyDescent="0.25">
      <c r="A124" s="16" t="s">
        <v>293</v>
      </c>
      <c r="B124" s="44" t="s">
        <v>165</v>
      </c>
      <c r="C124" s="12"/>
      <c r="D124" s="13"/>
      <c r="E124" s="44" t="str">
        <f>IF(C124="","",IF(C124="Yes","Provide a brief description.",""))</f>
        <v/>
      </c>
    </row>
    <row r="125" spans="1:5" ht="47" customHeight="1" x14ac:dyDescent="0.25">
      <c r="A125" s="16" t="s">
        <v>294</v>
      </c>
      <c r="B125" s="44" t="s">
        <v>166</v>
      </c>
      <c r="C125" s="12"/>
      <c r="D125" s="13"/>
      <c r="E125" s="44" t="str">
        <f>IF(C125="","",IF(C125="Yes","Provide the distance (in miles) between the primary and alternaitve locations.",""))</f>
        <v/>
      </c>
    </row>
    <row r="126" spans="1:5" ht="47" customHeight="1" x14ac:dyDescent="0.25">
      <c r="A126" s="16" t="s">
        <v>295</v>
      </c>
      <c r="B126" s="44" t="s">
        <v>167</v>
      </c>
      <c r="C126" s="12"/>
      <c r="D126" s="13"/>
      <c r="E126" s="44" t="str">
        <f>IF(C126="Yes","Provide a brief description.","")</f>
        <v/>
      </c>
    </row>
    <row r="127" spans="1:5" ht="64" customHeight="1" x14ac:dyDescent="0.25">
      <c r="A127" s="16" t="s">
        <v>296</v>
      </c>
      <c r="B127" s="44" t="s">
        <v>719</v>
      </c>
      <c r="C127" s="80"/>
      <c r="D127" s="80"/>
      <c r="E127" s="44" t="str">
        <f>IF(C127="","","")</f>
        <v/>
      </c>
    </row>
    <row r="128" spans="1:5" ht="36" customHeight="1" x14ac:dyDescent="0.25">
      <c r="A128" s="79" t="str">
        <f>IF($C$41="","Change Management",IF($C$41="Yes","Change Management - Optional based on QUALIFIER response.","Change Management"))</f>
        <v>Change Management</v>
      </c>
      <c r="B128" s="79"/>
      <c r="C128" s="36" t="s">
        <v>15</v>
      </c>
      <c r="D128" s="36" t="s">
        <v>16</v>
      </c>
      <c r="E128" s="7" t="s">
        <v>17</v>
      </c>
    </row>
    <row r="129" spans="1:256" ht="48" customHeight="1" x14ac:dyDescent="0.25">
      <c r="A129" s="16" t="s">
        <v>297</v>
      </c>
      <c r="B129" s="44" t="s">
        <v>133</v>
      </c>
      <c r="C129" s="12"/>
      <c r="D129" s="13"/>
      <c r="E129" s="44" t="str">
        <f>IF(C129="","",IF(C129="Yes","Provide a brief description.","Describe current plans to implement a change management process."))</f>
        <v/>
      </c>
    </row>
    <row r="130" spans="1:256" ht="80" customHeight="1" x14ac:dyDescent="0.25">
      <c r="A130" s="16" t="s">
        <v>298</v>
      </c>
      <c r="B130" s="44" t="s">
        <v>620</v>
      </c>
      <c r="C130" s="80"/>
      <c r="D130" s="80"/>
      <c r="E130" s="44" t="str">
        <f>IF(C130="","","")</f>
        <v/>
      </c>
    </row>
    <row r="131" spans="1:256" ht="64" customHeight="1" x14ac:dyDescent="0.25">
      <c r="A131" s="16" t="s">
        <v>299</v>
      </c>
      <c r="B131" s="44" t="s">
        <v>694</v>
      </c>
      <c r="C131" s="80"/>
      <c r="D131" s="80"/>
      <c r="E131" s="44" t="str">
        <f>IF(C131="","","")</f>
        <v/>
      </c>
    </row>
    <row r="132" spans="1:256" ht="64" customHeight="1" x14ac:dyDescent="0.25">
      <c r="A132" s="16" t="s">
        <v>300</v>
      </c>
      <c r="B132" s="44" t="s">
        <v>127</v>
      </c>
      <c r="C132" s="12"/>
      <c r="D132" s="34"/>
      <c r="E132" s="44" t="str">
        <f>IF(C132="","",IF(C132="Yes","","Provide a detailed desciption."))</f>
        <v/>
      </c>
    </row>
    <row r="133" spans="1:256" ht="64" customHeight="1" x14ac:dyDescent="0.25">
      <c r="A133" s="16" t="s">
        <v>301</v>
      </c>
      <c r="B133" s="44" t="s">
        <v>537</v>
      </c>
      <c r="C133" s="80"/>
      <c r="D133" s="80"/>
      <c r="E133" s="44" t="str">
        <f>IF(C133="","","")</f>
        <v/>
      </c>
    </row>
    <row r="134" spans="1:256" ht="64" customHeight="1" x14ac:dyDescent="0.25">
      <c r="A134" s="16" t="s">
        <v>302</v>
      </c>
      <c r="B134" s="44" t="s">
        <v>145</v>
      </c>
      <c r="C134" s="80"/>
      <c r="D134" s="80"/>
      <c r="E134" s="44" t="str">
        <f t="shared" ref="E134:E141" si="5">IF(C134="","","")</f>
        <v/>
      </c>
    </row>
    <row r="135" spans="1:256" ht="64" customHeight="1" x14ac:dyDescent="0.25">
      <c r="A135" s="16" t="s">
        <v>303</v>
      </c>
      <c r="B135" s="44" t="s">
        <v>560</v>
      </c>
      <c r="C135" s="80"/>
      <c r="D135" s="80"/>
      <c r="E135" s="44" t="str">
        <f t="shared" si="5"/>
        <v/>
      </c>
    </row>
    <row r="136" spans="1:256" ht="64" customHeight="1" x14ac:dyDescent="0.25">
      <c r="A136" s="16" t="s">
        <v>304</v>
      </c>
      <c r="B136" s="44" t="s">
        <v>132</v>
      </c>
      <c r="C136" s="80"/>
      <c r="D136" s="80"/>
      <c r="E136" s="44" t="str">
        <f t="shared" si="5"/>
        <v/>
      </c>
    </row>
    <row r="137" spans="1:256" ht="64" customHeight="1" x14ac:dyDescent="0.25">
      <c r="A137" s="16" t="s">
        <v>305</v>
      </c>
      <c r="B137" s="44" t="s">
        <v>524</v>
      </c>
      <c r="C137" s="80"/>
      <c r="D137" s="80"/>
      <c r="E137" s="44" t="str">
        <f t="shared" si="5"/>
        <v/>
      </c>
    </row>
    <row r="138" spans="1:256" ht="64" customHeight="1" x14ac:dyDescent="0.25">
      <c r="A138" s="16" t="s">
        <v>306</v>
      </c>
      <c r="B138" s="44" t="s">
        <v>525</v>
      </c>
      <c r="C138" s="80"/>
      <c r="D138" s="80"/>
      <c r="E138" s="44" t="str">
        <f t="shared" si="5"/>
        <v/>
      </c>
    </row>
    <row r="139" spans="1:256" ht="64" customHeight="1" x14ac:dyDescent="0.25">
      <c r="A139" s="16" t="s">
        <v>307</v>
      </c>
      <c r="B139" s="44" t="s">
        <v>526</v>
      </c>
      <c r="C139" s="80"/>
      <c r="D139" s="80"/>
      <c r="E139" s="44" t="str">
        <f t="shared" si="5"/>
        <v/>
      </c>
    </row>
    <row r="140" spans="1:256" ht="64" customHeight="1" x14ac:dyDescent="0.25">
      <c r="A140" s="16" t="s">
        <v>308</v>
      </c>
      <c r="B140" s="44" t="s">
        <v>535</v>
      </c>
      <c r="C140" s="80"/>
      <c r="D140" s="80"/>
      <c r="E140" s="44" t="str">
        <f t="shared" si="5"/>
        <v/>
      </c>
    </row>
    <row r="141" spans="1:256" ht="64" customHeight="1" x14ac:dyDescent="0.25">
      <c r="A141" s="16" t="s">
        <v>309</v>
      </c>
      <c r="B141" s="44" t="s">
        <v>536</v>
      </c>
      <c r="C141" s="80"/>
      <c r="D141" s="80"/>
      <c r="E141" s="44" t="str">
        <f t="shared" si="5"/>
        <v/>
      </c>
    </row>
    <row r="142" spans="1:256" ht="48" customHeight="1" x14ac:dyDescent="0.25">
      <c r="A142" s="16" t="s">
        <v>310</v>
      </c>
      <c r="B142" s="44" t="s">
        <v>134</v>
      </c>
      <c r="C142" s="12"/>
      <c r="D142" s="34"/>
      <c r="E142" s="44" t="str">
        <f>IF(C142="","",IF(C142="No","Provide a detailed description.","Provide a detailed description."))</f>
        <v/>
      </c>
    </row>
    <row r="143" spans="1:256" ht="48" customHeight="1" x14ac:dyDescent="0.25">
      <c r="A143" s="16" t="s">
        <v>311</v>
      </c>
      <c r="B143" s="44" t="s">
        <v>135</v>
      </c>
      <c r="C143" s="12"/>
      <c r="D143" s="34"/>
      <c r="E143" s="44" t="str">
        <f>IF(C143="","",IF(C143="No","Provide a detailed description.","Provide a detailed description."))</f>
        <v/>
      </c>
    </row>
    <row r="144" spans="1:256" ht="36" customHeight="1" x14ac:dyDescent="0.3">
      <c r="A144" s="79" t="str">
        <f>IF($C$41="","Data",IF($C$41="Yes","Data - Optional based on QUALIFIER response.","Data"))</f>
        <v>Data</v>
      </c>
      <c r="B144" s="79"/>
      <c r="C144" s="36" t="s">
        <v>15</v>
      </c>
      <c r="D144" s="36" t="s">
        <v>16</v>
      </c>
      <c r="E144" s="7" t="s">
        <v>17</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65" customHeight="1" x14ac:dyDescent="0.3">
      <c r="A145" s="16" t="s">
        <v>312</v>
      </c>
      <c r="B145" s="44" t="s">
        <v>695</v>
      </c>
      <c r="C145" s="86"/>
      <c r="D145" s="86"/>
      <c r="E145" s="44" t="str">
        <f>IF(C145="","","")</f>
        <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48" customHeight="1" x14ac:dyDescent="0.3">
      <c r="A146" s="16" t="s">
        <v>313</v>
      </c>
      <c r="B146" s="44" t="s">
        <v>651</v>
      </c>
      <c r="C146" s="86"/>
      <c r="D146" s="86"/>
      <c r="E146" s="44" t="str">
        <f>IF(C146="","","")</f>
        <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48" customHeight="1" x14ac:dyDescent="0.3">
      <c r="A147" s="16" t="s">
        <v>314</v>
      </c>
      <c r="B147" s="44" t="s">
        <v>696</v>
      </c>
      <c r="C147" s="31"/>
      <c r="D147" s="46"/>
      <c r="E147" s="44" t="str">
        <f>IF(C147="","",IF(C147="Yes","",""))</f>
        <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48" customHeight="1" x14ac:dyDescent="0.3">
      <c r="A148" s="16" t="s">
        <v>315</v>
      </c>
      <c r="B148" s="44" t="s">
        <v>571</v>
      </c>
      <c r="C148" s="31"/>
      <c r="D148" s="46"/>
      <c r="E148" s="44" t="str">
        <f>IF(C148="","",IF(C148="Yes","Provide a detailed description.","Provide a detailed description."))</f>
        <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48" customHeight="1" x14ac:dyDescent="0.3">
      <c r="A149" s="16" t="s">
        <v>316</v>
      </c>
      <c r="B149" s="44" t="s">
        <v>572</v>
      </c>
      <c r="C149" s="31"/>
      <c r="D149" s="46"/>
      <c r="E149" s="44" t="str">
        <f>IF(C149="","",IF(C149="Yes","Provide a detailed description.","Provide a detailed description."))</f>
        <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48" customHeight="1" x14ac:dyDescent="0.3">
      <c r="A150" s="16" t="s">
        <v>317</v>
      </c>
      <c r="B150" s="44" t="s">
        <v>539</v>
      </c>
      <c r="C150" s="31"/>
      <c r="D150" s="46"/>
      <c r="E150" s="44" t="str">
        <f>IF(C150="","",IF(C150="Yes","Provide a detailed description.",""))</f>
        <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65" customHeight="1" x14ac:dyDescent="0.3">
      <c r="A151" s="16" t="s">
        <v>318</v>
      </c>
      <c r="B151" s="44" t="s">
        <v>527</v>
      </c>
      <c r="C151" s="86"/>
      <c r="D151" s="86"/>
      <c r="E151" s="44" t="str">
        <f>IF(C151="","","Include all types of encryption; remote-access, application/database, end-user-to-system, etc.")</f>
        <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60" customHeight="1" x14ac:dyDescent="0.3">
      <c r="A152" s="16" t="s">
        <v>319</v>
      </c>
      <c r="B152" s="44" t="s">
        <v>652</v>
      </c>
      <c r="C152" s="86"/>
      <c r="D152" s="86"/>
      <c r="E152" s="44" t="str">
        <f>IF(C152="","","")</f>
        <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36" customHeight="1" x14ac:dyDescent="0.3">
      <c r="A153" s="16" t="s">
        <v>320</v>
      </c>
      <c r="B153" s="44" t="s">
        <v>653</v>
      </c>
      <c r="C153" s="31"/>
      <c r="D153" s="46"/>
      <c r="E153" s="44" t="str">
        <f>IF(C153="","",IF(C153="Yes","","Briefly explain why it won't be returned."))</f>
        <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48" customHeight="1" x14ac:dyDescent="0.3">
      <c r="A154" s="16" t="s">
        <v>321</v>
      </c>
      <c r="B154" s="44" t="s">
        <v>654</v>
      </c>
      <c r="C154" s="86"/>
      <c r="D154" s="86"/>
      <c r="E154" s="44" t="str">
        <f>IF(C154="","","")</f>
        <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48" customHeight="1" x14ac:dyDescent="0.3">
      <c r="A155" s="16" t="s">
        <v>322</v>
      </c>
      <c r="B155" s="44" t="s">
        <v>655</v>
      </c>
      <c r="C155" s="86"/>
      <c r="D155" s="86"/>
      <c r="E155" s="44" t="str">
        <f>IF(C155="","","")</f>
        <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36" customHeight="1" x14ac:dyDescent="0.3">
      <c r="A156" s="16" t="s">
        <v>323</v>
      </c>
      <c r="B156" s="44" t="s">
        <v>656</v>
      </c>
      <c r="C156" s="31"/>
      <c r="D156" s="46"/>
      <c r="E156" s="44" t="str">
        <f>IF(C156="","",IF(C156="Yes","Describe frequency and procedures for obtaining a full backup of data.",""))</f>
        <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48" customHeight="1" x14ac:dyDescent="0.3">
      <c r="A157" s="16" t="s">
        <v>324</v>
      </c>
      <c r="B157" s="44" t="s">
        <v>697</v>
      </c>
      <c r="C157" s="31"/>
      <c r="D157" s="46"/>
      <c r="E157" s="44" t="str">
        <f>IF(C157="","",IF(C157="No","Provide a detailed description.",""))</f>
        <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36" customHeight="1" x14ac:dyDescent="0.3">
      <c r="A158" s="16" t="s">
        <v>325</v>
      </c>
      <c r="B158" s="44" t="s">
        <v>129</v>
      </c>
      <c r="C158" s="31"/>
      <c r="D158" s="46"/>
      <c r="E158" s="44" t="str">
        <f>IF(C158="","",IF(C158="Yes","Provide a brief description.","Provide a detailed description."))</f>
        <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54" customHeight="1" x14ac:dyDescent="0.3">
      <c r="A159" s="16" t="s">
        <v>326</v>
      </c>
      <c r="B159" s="44" t="s">
        <v>130</v>
      </c>
      <c r="C159" s="31"/>
      <c r="D159" s="46"/>
      <c r="E159" s="44" t="str">
        <f>IF(C159="","",IF(C159="No","Provide a brief description.","Provide a detailed description."))</f>
        <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48" customHeight="1" x14ac:dyDescent="0.3">
      <c r="A160" s="16" t="s">
        <v>327</v>
      </c>
      <c r="B160" s="44" t="s">
        <v>528</v>
      </c>
      <c r="C160" s="86"/>
      <c r="D160" s="86"/>
      <c r="E160" s="44" t="str">
        <f>IF(C160="","","")</f>
        <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48" customHeight="1" x14ac:dyDescent="0.3">
      <c r="A161" s="16" t="s">
        <v>328</v>
      </c>
      <c r="B161" s="44" t="s">
        <v>138</v>
      </c>
      <c r="C161" s="31"/>
      <c r="D161" s="46"/>
      <c r="E161" s="44" t="str">
        <f>IF(C161="","",IF(C161="Yes","Provide a brief description.",""))</f>
        <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36" customHeight="1" x14ac:dyDescent="0.3">
      <c r="A162" s="16" t="s">
        <v>329</v>
      </c>
      <c r="B162" s="44" t="s">
        <v>31</v>
      </c>
      <c r="C162" s="86"/>
      <c r="D162" s="86"/>
      <c r="E162" s="44" t="str">
        <f>IF(C162="","","")</f>
        <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36" customHeight="1" x14ac:dyDescent="0.3">
      <c r="A163" s="16" t="s">
        <v>330</v>
      </c>
      <c r="B163" s="44" t="s">
        <v>698</v>
      </c>
      <c r="C163" s="31"/>
      <c r="D163" s="46"/>
      <c r="E163" s="44" t="str">
        <f>IF(C163="","",IF(C163="Yes","Provide a brief summary.","Describe why backups are not encrypted."))</f>
        <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48" customHeight="1" x14ac:dyDescent="0.3">
      <c r="A164" s="16" t="s">
        <v>331</v>
      </c>
      <c r="B164" s="44" t="s">
        <v>573</v>
      </c>
      <c r="C164" s="86"/>
      <c r="D164" s="86"/>
      <c r="E164" s="44" t="str">
        <f>IF(C164="","","")</f>
        <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72" customHeight="1" x14ac:dyDescent="0.3">
      <c r="A165" s="16" t="s">
        <v>332</v>
      </c>
      <c r="B165" s="44" t="s">
        <v>529</v>
      </c>
      <c r="C165" s="80"/>
      <c r="D165" s="80"/>
      <c r="E165" s="44" t="str">
        <f>IF(C165="","","")</f>
        <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48" customHeight="1" x14ac:dyDescent="0.3">
      <c r="A166" s="16" t="s">
        <v>333</v>
      </c>
      <c r="B166" s="44" t="s">
        <v>699</v>
      </c>
      <c r="C166" s="31"/>
      <c r="D166" s="46"/>
      <c r="E166" s="44" t="str">
        <f>IF(C166="","",IF(C166="No","Provide a brief description.",""))</f>
        <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36" customHeight="1" x14ac:dyDescent="0.3">
      <c r="A167" s="16" t="s">
        <v>334</v>
      </c>
      <c r="B167" s="44" t="s">
        <v>32</v>
      </c>
      <c r="C167" s="31"/>
      <c r="D167" s="46"/>
      <c r="E167" s="44" t="str">
        <f t="shared" ref="E167:E175" si="6">IF(C167="","",IF(C167="No","",""))</f>
        <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48" customHeight="1" x14ac:dyDescent="0.3">
      <c r="A168" s="16" t="s">
        <v>335</v>
      </c>
      <c r="B168" s="44" t="s">
        <v>700</v>
      </c>
      <c r="C168" s="31"/>
      <c r="D168" s="46"/>
      <c r="E168" s="44" t="str">
        <f>IF(C168="","",IF(C168="Yes","Provide the distance (in miles) between the primary and off-site locations.",""))</f>
        <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48" customHeight="1" x14ac:dyDescent="0.3">
      <c r="A169" s="16" t="s">
        <v>336</v>
      </c>
      <c r="B169" s="44" t="s">
        <v>657</v>
      </c>
      <c r="C169" s="31"/>
      <c r="D169" s="46"/>
      <c r="E169" s="44" t="str">
        <f>IF(C169="","",IF(C169="Yes.","Provide a detailed summary.",""))</f>
        <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73" customHeight="1" x14ac:dyDescent="0.3">
      <c r="A170" s="16" t="s">
        <v>337</v>
      </c>
      <c r="B170" s="44" t="s">
        <v>1066</v>
      </c>
      <c r="C170" s="86"/>
      <c r="D170" s="86"/>
      <c r="E170" s="44" t="str">
        <f>IF(C170="","","")</f>
        <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36" customHeight="1" x14ac:dyDescent="0.3">
      <c r="A171" s="16" t="s">
        <v>338</v>
      </c>
      <c r="B171" s="44" t="s">
        <v>128</v>
      </c>
      <c r="C171" s="31"/>
      <c r="D171" s="46"/>
      <c r="E171" s="44" t="str">
        <f t="shared" si="6"/>
        <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48" customHeight="1" x14ac:dyDescent="0.3">
      <c r="A172" s="16" t="s">
        <v>339</v>
      </c>
      <c r="B172" s="44" t="s">
        <v>140</v>
      </c>
      <c r="C172" s="31"/>
      <c r="D172" s="46"/>
      <c r="E172" s="44" t="str">
        <f>IF(C172="","",IF(C172="Yes","Provide a brief description.",""))</f>
        <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48" customHeight="1" x14ac:dyDescent="0.3">
      <c r="A173" s="16" t="s">
        <v>340</v>
      </c>
      <c r="B173" s="44" t="s">
        <v>139</v>
      </c>
      <c r="C173" s="31"/>
      <c r="D173" s="46"/>
      <c r="E173" s="44" t="str">
        <f t="shared" ref="E173" si="7">IF(C173="","",IF(C173="No","",""))</f>
        <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36" customHeight="1" x14ac:dyDescent="0.3">
      <c r="A174" s="16" t="s">
        <v>493</v>
      </c>
      <c r="B174" s="44" t="s">
        <v>33</v>
      </c>
      <c r="C174" s="31"/>
      <c r="D174" s="46"/>
      <c r="E174" s="44" t="str">
        <f t="shared" si="6"/>
        <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36" customHeight="1" x14ac:dyDescent="0.3">
      <c r="A175" s="16" t="s">
        <v>574</v>
      </c>
      <c r="B175" s="44" t="s">
        <v>658</v>
      </c>
      <c r="C175" s="31"/>
      <c r="D175" s="13"/>
      <c r="E175" s="44" t="str">
        <f t="shared" si="6"/>
        <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36" customHeight="1" x14ac:dyDescent="0.3">
      <c r="A176" s="79" t="str">
        <f>IF($C$41="","Database",IF($C$41="Yes","Database - Optional based on QUALIFIER response.","Database"))</f>
        <v>Database</v>
      </c>
      <c r="B176" s="79"/>
      <c r="C176" s="36" t="s">
        <v>15</v>
      </c>
      <c r="D176" s="36" t="s">
        <v>16</v>
      </c>
      <c r="E176" s="7" t="s">
        <v>17</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36" customHeight="1" x14ac:dyDescent="0.3">
      <c r="A177" s="16" t="s">
        <v>341</v>
      </c>
      <c r="B177" s="44" t="s">
        <v>34</v>
      </c>
      <c r="C177" s="12"/>
      <c r="D177" s="13"/>
      <c r="E177" s="44" t="str">
        <f>IF(C177="","",IF(C177="Yes","Describe the type of encryption that is supported.",""))</f>
        <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37" customHeight="1" x14ac:dyDescent="0.3">
      <c r="A178" s="16" t="s">
        <v>342</v>
      </c>
      <c r="B178" s="44" t="s">
        <v>720</v>
      </c>
      <c r="C178" s="12"/>
      <c r="D178" s="13"/>
      <c r="E178" s="44" t="str">
        <f>IF(C178="","",IF(C178="Yes","Describe how encryption is leveraged.","Describe plans to implement encryption in your database(s)"))</f>
        <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36" customHeight="1" x14ac:dyDescent="0.3">
      <c r="A179" s="79" t="str">
        <f>IF($C$41="","Datacenter",IF($C$41="Yes","Datacenter - Optional based on QUALIFIER response.","Datacenter"))</f>
        <v>Datacenter</v>
      </c>
      <c r="B179" s="79"/>
      <c r="C179" s="36" t="s">
        <v>15</v>
      </c>
      <c r="D179" s="36" t="s">
        <v>16</v>
      </c>
      <c r="E179" s="7" t="s">
        <v>17</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49" customHeight="1" x14ac:dyDescent="0.3">
      <c r="A180" s="16" t="s">
        <v>343</v>
      </c>
      <c r="B180" s="44" t="s">
        <v>702</v>
      </c>
      <c r="C180" s="12"/>
      <c r="D180" s="13"/>
      <c r="E180" s="44" t="str">
        <f>IF(C180="","",IF(C180="Yes","Provide a brief description.","Provide a detailed description of where institution's data will reside."))</f>
        <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48" customHeight="1" x14ac:dyDescent="0.3">
      <c r="A181" s="16" t="s">
        <v>344</v>
      </c>
      <c r="B181" s="44" t="s">
        <v>621</v>
      </c>
      <c r="C181" s="12"/>
      <c r="D181" s="13"/>
      <c r="E181" s="44" t="str">
        <f>IF(C181="","",IF(C181="Yes","Obtain the report if possible and add it to your submission.",""))</f>
        <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36" customHeight="1" x14ac:dyDescent="0.3">
      <c r="A182" s="16" t="s">
        <v>345</v>
      </c>
      <c r="B182" s="44" t="s">
        <v>703</v>
      </c>
      <c r="C182" s="12"/>
      <c r="D182" s="13"/>
      <c r="E182" s="44" t="str">
        <f>IF(C182="","",IF(C182="Yes","Describe the on-site staff capabilities.",""))</f>
        <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47" customHeight="1" x14ac:dyDescent="0.3">
      <c r="A183" s="16" t="s">
        <v>346</v>
      </c>
      <c r="B183" s="44" t="s">
        <v>35</v>
      </c>
      <c r="C183" s="12"/>
      <c r="D183" s="13"/>
      <c r="E183" s="44" t="str">
        <f>IF(C183="","",IF(C183="Yes","Provide a brief decription of this arrangement.",""))</f>
        <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47" customHeight="1" x14ac:dyDescent="0.3">
      <c r="A184" s="16" t="s">
        <v>347</v>
      </c>
      <c r="B184" s="44" t="s">
        <v>36</v>
      </c>
      <c r="C184" s="12"/>
      <c r="D184" s="13"/>
      <c r="E184" s="44" t="str">
        <f>IF(C184="","",IF(C184="Yes","",""))</f>
        <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48" customHeight="1" x14ac:dyDescent="0.3">
      <c r="A185" s="16" t="s">
        <v>348</v>
      </c>
      <c r="B185" s="44" t="s">
        <v>37</v>
      </c>
      <c r="C185" s="12"/>
      <c r="D185" s="13"/>
      <c r="E185" s="44" t="str">
        <f t="shared" ref="E185:E187" si="8">IF(C185="","",IF(C185="Yes","",""))</f>
        <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47" customHeight="1" x14ac:dyDescent="0.3">
      <c r="A186" s="16" t="s">
        <v>349</v>
      </c>
      <c r="B186" s="44" t="s">
        <v>40</v>
      </c>
      <c r="C186" s="12"/>
      <c r="D186" s="13"/>
      <c r="E186" s="44" t="str">
        <f>IF(C186="Other","Provide a brief desciption of the implemented networking strategy.","")</f>
        <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36" customHeight="1" x14ac:dyDescent="0.3">
      <c r="A187" s="16" t="s">
        <v>350</v>
      </c>
      <c r="B187" s="44" t="s">
        <v>38</v>
      </c>
      <c r="C187" s="12"/>
      <c r="D187" s="13"/>
      <c r="E187" s="44" t="str">
        <f t="shared" si="8"/>
        <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36" customHeight="1" x14ac:dyDescent="0.3">
      <c r="A188" s="16" t="s">
        <v>351</v>
      </c>
      <c r="B188" s="44" t="s">
        <v>659</v>
      </c>
      <c r="C188" s="12"/>
      <c r="D188" s="13"/>
      <c r="E188" s="44" t="str">
        <f>IF(C188="","",IF(C188="Yes","Provide a detailed description.",""))</f>
        <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64" customHeight="1" x14ac:dyDescent="0.3">
      <c r="A189" s="16" t="s">
        <v>352</v>
      </c>
      <c r="B189" s="44" t="s">
        <v>660</v>
      </c>
      <c r="C189" s="80"/>
      <c r="D189" s="80"/>
      <c r="E189" s="44" t="str">
        <f>IF(C189="","","")</f>
        <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53" customHeight="1" x14ac:dyDescent="0.3">
      <c r="A190" s="16" t="s">
        <v>353</v>
      </c>
      <c r="B190" s="44" t="s">
        <v>39</v>
      </c>
      <c r="C190" s="12"/>
      <c r="D190" s="13"/>
      <c r="E190" s="44" t="str">
        <f>IF(C190="","",IF(C190="Yes","Provide a brief description.","Decribe any plans to provide geographic diversity."))</f>
        <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36" customHeight="1" x14ac:dyDescent="0.3">
      <c r="A191" s="16" t="s">
        <v>354</v>
      </c>
      <c r="B191" s="44" t="s">
        <v>609</v>
      </c>
      <c r="C191" s="12"/>
      <c r="D191" s="13"/>
      <c r="E191" s="44" t="str">
        <f>IF(C191="","",IF(C191="Yes","","Provide a detailed description."))</f>
        <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36" customHeight="1" x14ac:dyDescent="0.3">
      <c r="A192" s="16" t="s">
        <v>355</v>
      </c>
      <c r="B192" s="44" t="s">
        <v>136</v>
      </c>
      <c r="C192" s="12"/>
      <c r="D192" s="47"/>
      <c r="E192" s="44" t="str">
        <f>IF(C192="","","")</f>
        <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s="1" customFormat="1" ht="48" customHeight="1" x14ac:dyDescent="0.3">
      <c r="A193" s="16" t="s">
        <v>356</v>
      </c>
      <c r="B193" s="44" t="s">
        <v>558</v>
      </c>
      <c r="C193" s="12"/>
      <c r="D193" s="13"/>
      <c r="E193" s="44" t="str">
        <f>IF(C193="","",IF(C193="Yes","Provide a brief description.","Describe any plans to deploy a high availability environment."))</f>
        <v/>
      </c>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ht="64" customHeight="1" x14ac:dyDescent="0.3">
      <c r="A194" s="16" t="s">
        <v>357</v>
      </c>
      <c r="B194" s="44" t="s">
        <v>661</v>
      </c>
      <c r="C194" s="12"/>
      <c r="D194" s="13"/>
      <c r="E194" s="44" t="str">
        <f>IF(C194="","",IF(C194="Yes","Provide a detailed description of the implemented strategy. (i.e. batteries, generator)","Provide a brief description."))</f>
        <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36" customHeight="1" x14ac:dyDescent="0.3">
      <c r="A195" s="16" t="s">
        <v>358</v>
      </c>
      <c r="B195" s="44" t="s">
        <v>137</v>
      </c>
      <c r="C195" s="80"/>
      <c r="D195" s="80"/>
      <c r="E195" s="44" t="str">
        <f>IF(C195="","","")</f>
        <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48" customHeight="1" x14ac:dyDescent="0.3">
      <c r="A196" s="16" t="s">
        <v>359</v>
      </c>
      <c r="B196" s="44" t="s">
        <v>662</v>
      </c>
      <c r="C196" s="80"/>
      <c r="D196" s="80"/>
      <c r="E196" s="44" t="str">
        <f>IF(C196="","","")</f>
        <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48" customHeight="1" x14ac:dyDescent="0.3">
      <c r="A197" s="16" t="s">
        <v>360</v>
      </c>
      <c r="B197" s="44" t="s">
        <v>704</v>
      </c>
      <c r="C197" s="80"/>
      <c r="D197" s="80"/>
      <c r="E197" s="44" t="str">
        <f>IF(C197="","","")</f>
        <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48" customHeight="1" x14ac:dyDescent="0.3">
      <c r="A198" s="16" t="s">
        <v>361</v>
      </c>
      <c r="B198" s="44" t="s">
        <v>705</v>
      </c>
      <c r="C198" s="12"/>
      <c r="D198" s="13"/>
      <c r="E198" s="44" t="str">
        <f>IF(C198="","",IF(C198="Yes","Provide a detailed description.","Provide a detailed description."))</f>
        <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36" customHeight="1" x14ac:dyDescent="0.3">
      <c r="A199" s="79" t="str">
        <f>IF(OR($C$39="No",$C$41="Yes"),"DRP - Optional based on QUALIFIER response.","Disaster Recovery Plan")</f>
        <v>Disaster Recovery Plan</v>
      </c>
      <c r="B199" s="79"/>
      <c r="C199" s="36" t="s">
        <v>15</v>
      </c>
      <c r="D199" s="36" t="s">
        <v>16</v>
      </c>
      <c r="E199" s="7" t="s">
        <v>17</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48" customHeight="1" x14ac:dyDescent="0.3">
      <c r="A200" s="16" t="s">
        <v>362</v>
      </c>
      <c r="B200" s="44" t="s">
        <v>706</v>
      </c>
      <c r="C200" s="80"/>
      <c r="D200" s="80"/>
      <c r="E200" s="44" t="str">
        <f>IF(C200="","","")</f>
        <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47" customHeight="1" x14ac:dyDescent="0.3">
      <c r="A201" s="16" t="s">
        <v>363</v>
      </c>
      <c r="B201" s="44" t="s">
        <v>707</v>
      </c>
      <c r="C201" s="12"/>
      <c r="D201" s="13"/>
      <c r="E201" s="44" t="str">
        <f>IF(C201="","",IF(C201="Yes","",""))</f>
        <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47" customHeight="1" x14ac:dyDescent="0.3">
      <c r="A202" s="16" t="s">
        <v>364</v>
      </c>
      <c r="B202" s="44" t="s">
        <v>708</v>
      </c>
      <c r="C202" s="12"/>
      <c r="D202" s="13"/>
      <c r="E202" s="44" t="str">
        <f>IF(C202="","",IF(C202="Yes","Provide DRP with your submission of this matrix.",""))</f>
        <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47" customHeight="1" x14ac:dyDescent="0.3">
      <c r="A203" s="16" t="s">
        <v>365</v>
      </c>
      <c r="B203" s="44" t="s">
        <v>42</v>
      </c>
      <c r="C203" s="12"/>
      <c r="D203" s="13"/>
      <c r="E203" s="44" t="str">
        <f>IF(C203="","",IF(C203="Yes","List all locations outside of the U.S.",""))</f>
        <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47" customHeight="1" x14ac:dyDescent="0.3">
      <c r="A204" s="16" t="s">
        <v>366</v>
      </c>
      <c r="B204" s="44" t="s">
        <v>149</v>
      </c>
      <c r="C204" s="12"/>
      <c r="D204" s="13"/>
      <c r="E204" s="44" t="str">
        <f>IF(C204="","",IF(C204="Yes","Provide a brief description.",""))</f>
        <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47" customHeight="1" x14ac:dyDescent="0.3">
      <c r="A205" s="16" t="s">
        <v>367</v>
      </c>
      <c r="B205" s="44" t="s">
        <v>153</v>
      </c>
      <c r="C205" s="88"/>
      <c r="D205" s="89"/>
      <c r="E205" s="44" t="str">
        <f>IF(C205="","",IF(C205="Yes","Provide a brief description.",""))</f>
        <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47" customHeight="1" x14ac:dyDescent="0.3">
      <c r="A206" s="16" t="s">
        <v>368</v>
      </c>
      <c r="B206" s="44" t="s">
        <v>154</v>
      </c>
      <c r="C206" s="12"/>
      <c r="D206" s="13"/>
      <c r="E206" s="44" t="str">
        <f>IF(C206="","",IF(C206="Yes","Provide a brief description.",""))</f>
        <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47" customHeight="1" x14ac:dyDescent="0.3">
      <c r="A207" s="16" t="s">
        <v>369</v>
      </c>
      <c r="B207" s="44" t="s">
        <v>161</v>
      </c>
      <c r="C207" s="12"/>
      <c r="D207" s="13"/>
      <c r="E207" s="44" t="str">
        <f>IF(C207="","",IF(C207="Yes","Provide a brief description.",""))</f>
        <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47" customHeight="1" x14ac:dyDescent="0.3">
      <c r="A208" s="16" t="s">
        <v>370</v>
      </c>
      <c r="B208" s="44" t="s">
        <v>160</v>
      </c>
      <c r="C208" s="12"/>
      <c r="D208" s="13"/>
      <c r="E208" s="44" t="str">
        <f>IF(C208="","",IF(C208="Yes","Provide a brief description.",""))</f>
        <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64" customHeight="1" x14ac:dyDescent="0.3">
      <c r="A209" s="16" t="s">
        <v>371</v>
      </c>
      <c r="B209" s="44" t="s">
        <v>622</v>
      </c>
      <c r="C209" s="80"/>
      <c r="D209" s="80"/>
      <c r="E209" s="44" t="str">
        <f>IF(C209="","","")</f>
        <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64" customHeight="1" x14ac:dyDescent="0.3">
      <c r="A210" s="16" t="s">
        <v>372</v>
      </c>
      <c r="B210" s="44" t="s">
        <v>147</v>
      </c>
      <c r="C210" s="80"/>
      <c r="D210" s="80"/>
      <c r="E210" s="44" t="str">
        <f>IF(C210="","","")</f>
        <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48" customHeight="1" x14ac:dyDescent="0.3">
      <c r="A211" s="16" t="s">
        <v>373</v>
      </c>
      <c r="B211" s="44" t="s">
        <v>148</v>
      </c>
      <c r="C211" s="12"/>
      <c r="D211" s="13"/>
      <c r="E211" s="44" t="str">
        <f>IF(C211="","",IF(C211="Yes","Provide a brief description.",""))</f>
        <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48" customHeight="1" x14ac:dyDescent="0.3">
      <c r="A212" s="16" t="s">
        <v>374</v>
      </c>
      <c r="B212" s="44" t="s">
        <v>709</v>
      </c>
      <c r="C212" s="12"/>
      <c r="D212" s="13"/>
      <c r="E212" s="44" t="str">
        <f>IF(C212="","",IF(C212="Yes","Describe that process.",""))</f>
        <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48" customHeight="1" x14ac:dyDescent="0.3">
      <c r="A213" s="16" t="s">
        <v>375</v>
      </c>
      <c r="B213" s="44" t="s">
        <v>575</v>
      </c>
      <c r="C213" s="12"/>
      <c r="D213" s="13"/>
      <c r="E213" s="44" t="str">
        <f>IF(C213="","",IF(C213="Yes","Provide a brief description.",""))</f>
        <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36" customHeight="1" x14ac:dyDescent="0.3">
      <c r="A214" s="79" t="str">
        <f>IF($C$41="","Firewalls, IDS, IPS, and Networking",IF($C$41="Yes","FW/IDPS/Networks - Optional based on QUALIFIER response.","Firewalls, IDS, IPS, and Networking"))</f>
        <v>Firewalls, IDS, IPS, and Networking</v>
      </c>
      <c r="B214" s="79"/>
      <c r="C214" s="36" t="s">
        <v>15</v>
      </c>
      <c r="D214" s="36" t="s">
        <v>16</v>
      </c>
      <c r="E214" s="7" t="s">
        <v>17</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36" customHeight="1" x14ac:dyDescent="0.3">
      <c r="A215" s="16" t="s">
        <v>376</v>
      </c>
      <c r="B215" s="44" t="s">
        <v>44</v>
      </c>
      <c r="C215" s="12"/>
      <c r="D215" s="13"/>
      <c r="E215" s="44" t="str">
        <f>IF(C215="","",IF(C215="Yes","Describe the currently implemented WAF.","Describe compensating controls."))</f>
        <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36" customHeight="1" x14ac:dyDescent="0.3">
      <c r="A216" s="16" t="s">
        <v>377</v>
      </c>
      <c r="B216" s="44" t="s">
        <v>45</v>
      </c>
      <c r="C216" s="12"/>
      <c r="D216" s="13"/>
      <c r="E216" s="44" t="str">
        <f>IF(C216="","",IF(C216="Yes","Describe the currently implemented SPI firewall.","Describe any plans to implement a SPI firewall."))</f>
        <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48" customHeight="1" x14ac:dyDescent="0.3">
      <c r="A217" s="16" t="s">
        <v>378</v>
      </c>
      <c r="B217" s="44" t="s">
        <v>623</v>
      </c>
      <c r="C217" s="80"/>
      <c r="D217" s="80"/>
      <c r="E217" s="44" t="str">
        <f>IF(C217="","","")</f>
        <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36" customHeight="1" x14ac:dyDescent="0.3">
      <c r="A218" s="16" t="s">
        <v>379</v>
      </c>
      <c r="B218" s="44" t="s">
        <v>624</v>
      </c>
      <c r="C218" s="12"/>
      <c r="D218" s="13"/>
      <c r="E218" s="44" t="str">
        <f>IF(C211="","",IF(C211="Yes","Provide a brief desciption.",""))</f>
        <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36" customHeight="1" x14ac:dyDescent="0.3">
      <c r="A219" s="16" t="s">
        <v>380</v>
      </c>
      <c r="B219" s="44" t="s">
        <v>141</v>
      </c>
      <c r="C219" s="12"/>
      <c r="D219" s="13"/>
      <c r="E219" s="44" t="str">
        <f>IF(C219="","",IF(C219="Yes","Describe the currently implemented IDS.",""))</f>
        <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36" customHeight="1" x14ac:dyDescent="0.3">
      <c r="A220" s="16" t="s">
        <v>381</v>
      </c>
      <c r="B220" s="44" t="s">
        <v>142</v>
      </c>
      <c r="C220" s="12"/>
      <c r="D220" s="13"/>
      <c r="E220" s="44" t="str">
        <f>IF(C220="","",IF(C220="Yes","Describe the currently implemented IPS.",""))</f>
        <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36" customHeight="1" x14ac:dyDescent="0.3">
      <c r="A221" s="16" t="s">
        <v>382</v>
      </c>
      <c r="B221" s="44" t="s">
        <v>169</v>
      </c>
      <c r="C221" s="12"/>
      <c r="D221" s="13"/>
      <c r="E221" s="44" t="str">
        <f>IF(C221="","",IF(C221="Yes","Describe the currently implemented host-based IDS solution(s).",""))</f>
        <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36" customHeight="1" x14ac:dyDescent="0.3">
      <c r="A222" s="16" t="s">
        <v>383</v>
      </c>
      <c r="B222" s="44" t="s">
        <v>170</v>
      </c>
      <c r="C222" s="12"/>
      <c r="D222" s="13"/>
      <c r="E222" s="44" t="str">
        <f>IF(C222="","",IF(C222="Yes","Describe the currently implemented host-based IPS solution(s).",""))</f>
        <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48" customHeight="1" x14ac:dyDescent="0.3">
      <c r="A223" s="16" t="s">
        <v>384</v>
      </c>
      <c r="B223" s="44" t="s">
        <v>530</v>
      </c>
      <c r="C223" s="80"/>
      <c r="D223" s="80"/>
      <c r="E223" s="44" t="str">
        <f>IF(C223="","","")</f>
        <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36" customHeight="1" x14ac:dyDescent="0.3">
      <c r="A224" s="16" t="s">
        <v>385</v>
      </c>
      <c r="B224" s="44" t="s">
        <v>143</v>
      </c>
      <c r="C224" s="12"/>
      <c r="D224" s="13"/>
      <c r="E224" s="44" t="str">
        <f>IF(C224="","",IF(C224="Yes","Provide a brief summary of this activity.",""))</f>
        <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36" customHeight="1" x14ac:dyDescent="0.3">
      <c r="A225" s="16" t="s">
        <v>386</v>
      </c>
      <c r="B225" s="44" t="s">
        <v>144</v>
      </c>
      <c r="C225" s="80"/>
      <c r="D225" s="80"/>
      <c r="E225" s="44" t="str">
        <f>IF(C225="","","")</f>
        <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36" customHeight="1" x14ac:dyDescent="0.3">
      <c r="A226" s="16" t="s">
        <v>387</v>
      </c>
      <c r="B226" s="44" t="s">
        <v>576</v>
      </c>
      <c r="C226" s="12"/>
      <c r="D226" s="13"/>
      <c r="E226" s="44" t="str">
        <f>IF(C226="","",IF(C226="Yes","Describe the current audit strategy.",""))</f>
        <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36" customHeight="1" x14ac:dyDescent="0.3">
      <c r="A227" s="79" t="str">
        <f>IF(OR($C$36="No",$C$41="Yes"),"Mobile Applications - Optional based on QUALIFIER response.","Mobile Applications")</f>
        <v>Mobile Applications</v>
      </c>
      <c r="B227" s="79"/>
      <c r="C227" s="36" t="s">
        <v>15</v>
      </c>
      <c r="D227" s="36" t="s">
        <v>16</v>
      </c>
      <c r="E227" s="7" t="s">
        <v>17</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48" customHeight="1" x14ac:dyDescent="0.3">
      <c r="A228" s="16" t="s">
        <v>388</v>
      </c>
      <c r="B228" s="44" t="s">
        <v>74</v>
      </c>
      <c r="C228" s="80"/>
      <c r="D228" s="80"/>
      <c r="E228" s="44" t="str">
        <f>IF(C228="","","")</f>
        <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47" customHeight="1" x14ac:dyDescent="0.3">
      <c r="A229" s="16" t="s">
        <v>389</v>
      </c>
      <c r="B229" s="44" t="s">
        <v>625</v>
      </c>
      <c r="C229" s="80"/>
      <c r="D229" s="80"/>
      <c r="E229" s="44" t="str">
        <f>IF(C229="","","")</f>
        <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36" customHeight="1" x14ac:dyDescent="0.3">
      <c r="A230" s="16" t="s">
        <v>390</v>
      </c>
      <c r="B230" s="44" t="s">
        <v>75</v>
      </c>
      <c r="C230" s="12"/>
      <c r="D230" s="13"/>
      <c r="E230" s="44" t="str">
        <f>IF(C230="","",IF(C230="Yes","State the application title as listed within the trusted source.","Decribe how the application is distributed."))</f>
        <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65" customHeight="1" x14ac:dyDescent="0.3">
      <c r="A231" s="16" t="s">
        <v>391</v>
      </c>
      <c r="B231" s="44" t="s">
        <v>76</v>
      </c>
      <c r="C231" s="12"/>
      <c r="D231" s="13"/>
      <c r="E231" s="44" t="str">
        <f>IF(C231="","",IF(C231="Yes","Provide a detailed description.",""))</f>
        <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36" customHeight="1" x14ac:dyDescent="0.3">
      <c r="A232" s="16" t="s">
        <v>392</v>
      </c>
      <c r="B232" s="44" t="s">
        <v>710</v>
      </c>
      <c r="C232" s="12"/>
      <c r="D232" s="13"/>
      <c r="E232" s="44" t="str">
        <f>IF(C232="","",IF(C232="Yes","Provide a brief description.","Provide a brief description."))</f>
        <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36" customHeight="1" x14ac:dyDescent="0.3">
      <c r="A233" s="16" t="s">
        <v>393</v>
      </c>
      <c r="B233" s="44" t="s">
        <v>711</v>
      </c>
      <c r="C233" s="12"/>
      <c r="D233" s="13"/>
      <c r="E233" s="44" t="str">
        <f>IF(C233="","",IF(C233="Yes","Provide a brief description.","Provide a brief description."))</f>
        <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48" customHeight="1" x14ac:dyDescent="0.3">
      <c r="A234" s="16" t="s">
        <v>394</v>
      </c>
      <c r="B234" s="44" t="s">
        <v>77</v>
      </c>
      <c r="C234" s="12"/>
      <c r="D234" s="13"/>
      <c r="E234" s="44" t="str">
        <f t="shared" ref="E234" si="9">IF(C234="","",IF(C234="Yes","",""))</f>
        <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48" customHeight="1" x14ac:dyDescent="0.3">
      <c r="A235" s="16" t="s">
        <v>395</v>
      </c>
      <c r="B235" s="44" t="s">
        <v>712</v>
      </c>
      <c r="C235" s="12"/>
      <c r="D235" s="13"/>
      <c r="E235" s="44" t="str">
        <f>IF(C235="","",IF(C235="Yes","Provide a detailed summary.",""))</f>
        <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36" customHeight="1" x14ac:dyDescent="0.3">
      <c r="A236" s="16" t="s">
        <v>396</v>
      </c>
      <c r="B236" s="44" t="s">
        <v>78</v>
      </c>
      <c r="C236" s="12"/>
      <c r="D236" s="13"/>
      <c r="E236" s="44" t="str">
        <f>IF(C236="","",IF(C236="Yes","Provide documentation or a web resource.",""))</f>
        <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36" customHeight="1" x14ac:dyDescent="0.3">
      <c r="A237" s="16" t="s">
        <v>397</v>
      </c>
      <c r="B237" s="44" t="s">
        <v>79</v>
      </c>
      <c r="C237" s="12"/>
      <c r="D237" s="13"/>
      <c r="E237" s="44" t="str">
        <f>IF(C237="","",IF(C237="Yes","Provide test results and mitigation plans (if any).","Describe any plans to implement mobile application vulnerability scanning."))</f>
        <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48" customHeight="1" x14ac:dyDescent="0.3">
      <c r="A238" s="16" t="s">
        <v>713</v>
      </c>
      <c r="B238" s="44" t="s">
        <v>80</v>
      </c>
      <c r="C238" s="80"/>
      <c r="D238" s="80"/>
      <c r="E238" s="44" t="str">
        <f>IF(C238="","","")</f>
        <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36" customHeight="1" x14ac:dyDescent="0.3">
      <c r="A239" s="79" t="str">
        <f>IF($C$41="","Physical Security",IF($C$41="Yes","Physical Security - Optional based on QUALIFIER response.","Physical Security"))</f>
        <v>Physical Security</v>
      </c>
      <c r="B239" s="79"/>
      <c r="C239" s="36" t="s">
        <v>15</v>
      </c>
      <c r="D239" s="36" t="s">
        <v>16</v>
      </c>
      <c r="E239" s="7" t="s">
        <v>17</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64" customHeight="1" x14ac:dyDescent="0.3">
      <c r="A240" s="16" t="s">
        <v>398</v>
      </c>
      <c r="B240" s="44" t="s">
        <v>663</v>
      </c>
      <c r="C240" s="80"/>
      <c r="D240" s="80"/>
      <c r="E240" s="44" t="str">
        <f>IF(C240="","","")</f>
        <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36" customHeight="1" x14ac:dyDescent="0.3">
      <c r="A241" s="16" t="s">
        <v>399</v>
      </c>
      <c r="B241" s="44" t="s">
        <v>714</v>
      </c>
      <c r="C241" s="12"/>
      <c r="D241" s="13"/>
      <c r="E241" s="44" t="str">
        <f>IF(C241="","",IF(C241="Yes","Provide a detailed description.",""))</f>
        <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36" customHeight="1" x14ac:dyDescent="0.3">
      <c r="A242" s="16" t="s">
        <v>400</v>
      </c>
      <c r="B242" s="44" t="s">
        <v>206</v>
      </c>
      <c r="C242" s="12"/>
      <c r="D242" s="13"/>
      <c r="E242" s="44" t="str">
        <f>IF(C242="","",IF(C242="Yes","State the retention period for security video.",""))</f>
        <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36" customHeight="1" x14ac:dyDescent="0.3">
      <c r="A243" s="16" t="s">
        <v>401</v>
      </c>
      <c r="B243" s="44" t="s">
        <v>52</v>
      </c>
      <c r="C243" s="12"/>
      <c r="D243" s="13"/>
      <c r="E243" s="44" t="str">
        <f>IF(C243="","",IF(C243="Yes","","Describe plans to have video feed(s) monitored."))</f>
        <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36" customHeight="1" x14ac:dyDescent="0.3">
      <c r="A244" s="16" t="s">
        <v>402</v>
      </c>
      <c r="B244" s="44" t="s">
        <v>53</v>
      </c>
      <c r="C244" s="12"/>
      <c r="D244" s="13"/>
      <c r="E244" s="44" t="str">
        <f>IF(C244="","",IF(C244="Yes","","Provide a detailed description."))</f>
        <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48" customHeight="1" x14ac:dyDescent="0.3">
      <c r="A245" s="16" t="s">
        <v>403</v>
      </c>
      <c r="B245" s="44" t="s">
        <v>54</v>
      </c>
      <c r="C245" s="80"/>
      <c r="D245" s="80"/>
      <c r="E245" s="44" t="str">
        <f>IF(C245="","","")</f>
        <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36" customHeight="1" x14ac:dyDescent="0.3">
      <c r="A246" s="79" t="str">
        <f>IF($C$41="","Policies, Procedures, and Processes",IF($C$41="Yes","Pol/Pro/Proc - Optional based on QUALIFIER response.","Policies, Procedures, and Processes"))</f>
        <v>Policies, Procedures, and Processes</v>
      </c>
      <c r="B246" s="79"/>
      <c r="C246" s="36" t="s">
        <v>15</v>
      </c>
      <c r="D246" s="36" t="s">
        <v>16</v>
      </c>
      <c r="E246" s="7" t="s">
        <v>17</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72" customHeight="1" x14ac:dyDescent="0.3">
      <c r="A247" s="16" t="s">
        <v>404</v>
      </c>
      <c r="B247" s="44" t="s">
        <v>168</v>
      </c>
      <c r="C247" s="80"/>
      <c r="D247" s="80"/>
      <c r="E247" s="44" t="str">
        <f>IF(C247="","","")</f>
        <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36" customHeight="1" x14ac:dyDescent="0.3">
      <c r="A248" s="16" t="s">
        <v>405</v>
      </c>
      <c r="B248" s="44" t="s">
        <v>55</v>
      </c>
      <c r="C248" s="12"/>
      <c r="D248" s="13"/>
      <c r="E248" s="44" t="str">
        <f>IF(C248="","",IF(C248="Yes","Provide a brief description.",""))</f>
        <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36" customHeight="1" x14ac:dyDescent="0.3">
      <c r="A249" s="16" t="s">
        <v>406</v>
      </c>
      <c r="B249" s="44" t="s">
        <v>56</v>
      </c>
      <c r="C249" s="12"/>
      <c r="D249" s="13"/>
      <c r="E249" s="44" t="str">
        <f>IF(C249="","",IF(C249="Yes","","Provide a brief description."))</f>
        <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48" customHeight="1" x14ac:dyDescent="0.3">
      <c r="A250" s="16" t="s">
        <v>407</v>
      </c>
      <c r="B250" s="44" t="s">
        <v>57</v>
      </c>
      <c r="C250" s="12"/>
      <c r="D250" s="13"/>
      <c r="E250" s="44" t="str">
        <f>IF(C250="","",IF(C250="Yes","Provide a brief description of the training provided.",""))</f>
        <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48" customHeight="1" x14ac:dyDescent="0.3">
      <c r="A251" s="16" t="s">
        <v>408</v>
      </c>
      <c r="B251" s="44" t="s">
        <v>58</v>
      </c>
      <c r="C251" s="12"/>
      <c r="D251" s="13"/>
      <c r="E251" s="44" t="str">
        <f>IF(C251="","",IF(C251="Yes","Provide a brief description.",""))</f>
        <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48" customHeight="1" x14ac:dyDescent="0.3">
      <c r="A252" s="16" t="s">
        <v>409</v>
      </c>
      <c r="B252" s="44" t="s">
        <v>59</v>
      </c>
      <c r="C252" s="12"/>
      <c r="D252" s="13"/>
      <c r="E252" s="44" t="str">
        <f>IF(C252="","",IF(C252="Yes","Provide a list of all tools utilized during SCA.",""))</f>
        <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84" customHeight="1" x14ac:dyDescent="0.3">
      <c r="A253" s="16" t="s">
        <v>410</v>
      </c>
      <c r="B253" s="44" t="s">
        <v>531</v>
      </c>
      <c r="C253" s="80"/>
      <c r="D253" s="80"/>
      <c r="E253" s="44" t="str">
        <f>IF(C253="","","")</f>
        <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48" customHeight="1" x14ac:dyDescent="0.3">
      <c r="A254" s="16" t="s">
        <v>411</v>
      </c>
      <c r="B254" s="44" t="s">
        <v>60</v>
      </c>
      <c r="C254" s="12"/>
      <c r="D254" s="13"/>
      <c r="E254" s="44" t="str">
        <f>IF(C254="","",IF(C254="Yes","Provide a brief description.",""))</f>
        <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36" customHeight="1" x14ac:dyDescent="0.3">
      <c r="A255" s="16" t="s">
        <v>412</v>
      </c>
      <c r="B255" s="44" t="s">
        <v>61</v>
      </c>
      <c r="C255" s="12"/>
      <c r="D255" s="13"/>
      <c r="E255" s="44" t="str">
        <f>IF(C255="","",IF(C255="Yes","Provide a brief description.","Describe any plans to implement a documented SDLC."))</f>
        <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64" customHeight="1" x14ac:dyDescent="0.3">
      <c r="A256" s="16" t="s">
        <v>413</v>
      </c>
      <c r="B256" s="44" t="s">
        <v>532</v>
      </c>
      <c r="C256" s="80"/>
      <c r="D256" s="80"/>
      <c r="E256" s="44" t="str">
        <f>IF(C256="","","")</f>
        <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36" customHeight="1" x14ac:dyDescent="0.3">
      <c r="A257" s="16" t="s">
        <v>414</v>
      </c>
      <c r="B257" s="44" t="s">
        <v>62</v>
      </c>
      <c r="C257" s="12"/>
      <c r="D257" s="13"/>
      <c r="E257" s="44" t="str">
        <f>IF(C257="","",IF(C257="Yes","Provide a brief summary of your incident response plan.","Describe any plans to formalize an incident response plan."))</f>
        <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36" customHeight="1" x14ac:dyDescent="0.3">
      <c r="A258" s="16" t="s">
        <v>415</v>
      </c>
      <c r="B258" s="44" t="s">
        <v>131</v>
      </c>
      <c r="C258" s="12"/>
      <c r="D258" s="13"/>
      <c r="E258" s="44" t="str">
        <f>IF(C258="","",IF(C258="Yes","Describe how long it will take to be notified of a data breach or security incident.",""))</f>
        <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48" customHeight="1" x14ac:dyDescent="0.3">
      <c r="A259" s="16" t="s">
        <v>416</v>
      </c>
      <c r="B259" s="44" t="s">
        <v>715</v>
      </c>
      <c r="C259" s="12"/>
      <c r="D259" s="13"/>
      <c r="E259" s="44" t="str">
        <f t="shared" ref="E259:E260" si="10">IF(C259="","",IF(C259="Yes","",""))</f>
        <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36" customHeight="1" x14ac:dyDescent="0.3">
      <c r="A260" s="16" t="s">
        <v>417</v>
      </c>
      <c r="B260" s="44" t="s">
        <v>63</v>
      </c>
      <c r="C260" s="12"/>
      <c r="D260" s="13"/>
      <c r="E260" s="44" t="str">
        <f t="shared" si="10"/>
        <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48" customHeight="1" x14ac:dyDescent="0.3">
      <c r="A261" s="16" t="s">
        <v>418</v>
      </c>
      <c r="B261" s="44" t="s">
        <v>577</v>
      </c>
      <c r="C261" s="12"/>
      <c r="D261" s="13"/>
      <c r="E261" s="44" t="str">
        <f>IF(C261="","",IF(C261="Yes","Provide a brief description.",""))</f>
        <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36" customHeight="1" x14ac:dyDescent="0.3">
      <c r="A262" s="16" t="s">
        <v>419</v>
      </c>
      <c r="B262" s="44" t="s">
        <v>64</v>
      </c>
      <c r="C262" s="12"/>
      <c r="D262" s="13"/>
      <c r="E262" s="44" t="str">
        <f>IF(C262="","",IF(C262="Yes","","Provide a detailed summary."))</f>
        <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65" customHeight="1" x14ac:dyDescent="0.3">
      <c r="A263" s="16" t="s">
        <v>420</v>
      </c>
      <c r="B263" s="44" t="s">
        <v>155</v>
      </c>
      <c r="C263" s="80"/>
      <c r="D263" s="80"/>
      <c r="E263" s="44" t="str">
        <f>IF(C263="","","Provide a copy of all agreements, if possible.")</f>
        <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48" customHeight="1" x14ac:dyDescent="0.3">
      <c r="A264" s="16" t="s">
        <v>421</v>
      </c>
      <c r="B264" s="44" t="s">
        <v>65</v>
      </c>
      <c r="C264" s="12"/>
      <c r="D264" s="13"/>
      <c r="E264" s="44" t="str">
        <f>IF(C264="","",IF(C264="Yes","Provide a brief description or a copy of the document.",""))</f>
        <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48" customHeight="1" x14ac:dyDescent="0.3">
      <c r="A265" s="16" t="s">
        <v>422</v>
      </c>
      <c r="B265" s="44" t="s">
        <v>66</v>
      </c>
      <c r="C265" s="12"/>
      <c r="D265" s="13"/>
      <c r="E265" s="44" t="str">
        <f>IF(C265="","",IF(C265="Yes","Provide a brief description.",""))</f>
        <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48" customHeight="1" x14ac:dyDescent="0.3">
      <c r="A266" s="16" t="s">
        <v>423</v>
      </c>
      <c r="B266" s="44" t="s">
        <v>67</v>
      </c>
      <c r="C266" s="12"/>
      <c r="D266" s="13"/>
      <c r="E266" s="44" t="str">
        <f>IF(C266="","",IF(C266="Yes","","Provide a brief description."))</f>
        <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48" customHeight="1" x14ac:dyDescent="0.3">
      <c r="A267" s="16" t="s">
        <v>424</v>
      </c>
      <c r="B267" s="44" t="s">
        <v>68</v>
      </c>
      <c r="C267" s="80"/>
      <c r="D267" s="80"/>
      <c r="E267" s="44" t="str">
        <f>IF(C267="","","")</f>
        <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48" customHeight="1" x14ac:dyDescent="0.3">
      <c r="A268" s="16" t="s">
        <v>425</v>
      </c>
      <c r="B268" s="44" t="s">
        <v>171</v>
      </c>
      <c r="C268" s="12"/>
      <c r="D268" s="13"/>
      <c r="E268" s="44" t="str">
        <f>IF(C268="","",IF(C268="Yes","Provide a brief description and how often this process is executed.","Describe plans to implement this process."))</f>
        <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64" customHeight="1" x14ac:dyDescent="0.3">
      <c r="A269" s="16" t="s">
        <v>426</v>
      </c>
      <c r="B269" s="44" t="s">
        <v>716</v>
      </c>
      <c r="C269" s="80"/>
      <c r="D269" s="80"/>
      <c r="E269" s="44" t="str">
        <f>IF(C269="","","")</f>
        <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36" customHeight="1" x14ac:dyDescent="0.3">
      <c r="A270" s="79" t="str">
        <f>IF($C$41="","Product Evaluation",IF($C$41="Yes","Product Evaluation - Optional based on QUALIFIER response.","Product Evaluation"))</f>
        <v>Product Evaluation</v>
      </c>
      <c r="B270" s="79"/>
      <c r="C270" s="36" t="s">
        <v>15</v>
      </c>
      <c r="D270" s="36" t="s">
        <v>16</v>
      </c>
      <c r="E270" s="7" t="s">
        <v>17</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48" customHeight="1" x14ac:dyDescent="0.3">
      <c r="A271" s="16" t="s">
        <v>427</v>
      </c>
      <c r="B271" s="44" t="s">
        <v>69</v>
      </c>
      <c r="C271" s="12"/>
      <c r="D271" s="13"/>
      <c r="E271" s="44" t="str">
        <f>IF(C271="","",IF(C271="Yes","Provide the appropriate method for submitting feature requests.",""))</f>
        <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36" customHeight="1" x14ac:dyDescent="0.3">
      <c r="A272" s="16" t="s">
        <v>428</v>
      </c>
      <c r="B272" s="44" t="s">
        <v>664</v>
      </c>
      <c r="C272" s="12"/>
      <c r="D272" s="13"/>
      <c r="E272" s="44" t="str">
        <f>IF(C272="","",IF(C272="Yes","",""))</f>
        <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36" customHeight="1" x14ac:dyDescent="0.3">
      <c r="A273" s="79" t="str">
        <f>IF($C$41="","Quality Assurance",IF($C$41="Yes","Quality Assurance - Optional based on QUALIFIER response.","Quality Assurance"))</f>
        <v>Quality Assurance</v>
      </c>
      <c r="B273" s="79"/>
      <c r="C273" s="36" t="s">
        <v>15</v>
      </c>
      <c r="D273" s="36" t="s">
        <v>16</v>
      </c>
      <c r="E273" s="7" t="s">
        <v>17</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48" customHeight="1" x14ac:dyDescent="0.3">
      <c r="A274" s="16" t="s">
        <v>429</v>
      </c>
      <c r="B274" s="44" t="s">
        <v>205</v>
      </c>
      <c r="C274" s="80"/>
      <c r="D274" s="80"/>
      <c r="E274" s="44" t="str">
        <f>IF(C274="","","")</f>
        <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36" customHeight="1" x14ac:dyDescent="0.3">
      <c r="A275" s="16" t="s">
        <v>430</v>
      </c>
      <c r="B275" s="44" t="s">
        <v>196</v>
      </c>
      <c r="C275" s="12"/>
      <c r="D275" s="13"/>
      <c r="E275" s="44" t="str">
        <f>IF(C275="","",IF(C275="Yes","If certified, provide documentation.","Describe plans and/or efforts towards certification."))</f>
        <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53" customHeight="1" x14ac:dyDescent="0.3">
      <c r="A276" s="16" t="s">
        <v>431</v>
      </c>
      <c r="B276" s="44" t="s">
        <v>197</v>
      </c>
      <c r="C276" s="12"/>
      <c r="D276" s="13"/>
      <c r="E276" s="44" t="str">
        <f>IF(C276="","",IF(C276="Yes","If possible, provide documentation.",""))</f>
        <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53" customHeight="1" x14ac:dyDescent="0.3">
      <c r="A277" s="16" t="s">
        <v>432</v>
      </c>
      <c r="B277" s="44" t="s">
        <v>665</v>
      </c>
      <c r="C277" s="12"/>
      <c r="D277" s="13"/>
      <c r="E277" s="44" t="str">
        <f>IF(C277="","",IF(C277="Yes","Provide the University contact, describe the products and/or services offered, and the total value of the services provided.",""))</f>
        <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48" customHeight="1" x14ac:dyDescent="0.3">
      <c r="A278" s="16" t="s">
        <v>433</v>
      </c>
      <c r="B278" s="44" t="s">
        <v>198</v>
      </c>
      <c r="C278" s="12"/>
      <c r="D278" s="13"/>
      <c r="E278" s="44" t="str">
        <f>IF(C278="","",IF(C278="Yes","If certified, provide documentation.","Describe plans and/or efforts towards certification."))</f>
        <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36" customHeight="1" x14ac:dyDescent="0.3">
      <c r="A279" s="79" t="str">
        <f>IF($C$41="","Systems Management &amp; Configuration",IF($C$41="Yes","System Mgmt/Config - Optional based on QUALIFIER response.","Systems Management &amp; Configuration"))</f>
        <v>Systems Management &amp; Configuration</v>
      </c>
      <c r="B279" s="79"/>
      <c r="C279" s="36" t="s">
        <v>15</v>
      </c>
      <c r="D279" s="36" t="s">
        <v>16</v>
      </c>
      <c r="E279" s="7" t="s">
        <v>17</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49" customHeight="1" x14ac:dyDescent="0.3">
      <c r="A280" s="16" t="s">
        <v>434</v>
      </c>
      <c r="B280" s="44" t="s">
        <v>211</v>
      </c>
      <c r="C280" s="12"/>
      <c r="D280" s="13"/>
      <c r="E280" s="44" t="str">
        <f>IF(C280="","",IF(C280="Yes","Provide a brief description of how this is implemented.","Describe any compensating controls."))</f>
        <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48" customHeight="1" x14ac:dyDescent="0.3">
      <c r="A281" s="16" t="s">
        <v>435</v>
      </c>
      <c r="B281" s="44" t="s">
        <v>717</v>
      </c>
      <c r="C281" s="12"/>
      <c r="D281" s="13"/>
      <c r="E281" s="44" t="str">
        <f>IF(C281="","",IF(C281="Yes","Provide a brief description.","Describe how system configuration management is currently handled."))</f>
        <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48" customHeight="1" x14ac:dyDescent="0.3">
      <c r="A282" s="16" t="s">
        <v>436</v>
      </c>
      <c r="B282" s="44" t="s">
        <v>212</v>
      </c>
      <c r="C282" s="12"/>
      <c r="D282" s="13"/>
      <c r="E282" s="44" t="str">
        <f>IF(C282="","",IF(C282="Yes","Describe the on-site staff capabilities.",""))</f>
        <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64" customHeight="1" x14ac:dyDescent="0.3">
      <c r="A283" s="16" t="s">
        <v>437</v>
      </c>
      <c r="B283" s="44" t="s">
        <v>213</v>
      </c>
      <c r="C283" s="80"/>
      <c r="D283" s="80"/>
      <c r="E283" s="44" t="str">
        <f>IF(C283="","","")</f>
        <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36" customHeight="1" x14ac:dyDescent="0.3">
      <c r="A284" s="79" t="str">
        <f>IF($C$41="","Vulnerability Scanning",IF($C$41="Yes","Vulnerability Scanning - Optional based on QUALIFIER response.","Vulnerability Scanning"))</f>
        <v>Vulnerability Scanning</v>
      </c>
      <c r="B284" s="79"/>
      <c r="C284" s="36" t="s">
        <v>15</v>
      </c>
      <c r="D284" s="36" t="s">
        <v>16</v>
      </c>
      <c r="E284" s="7" t="s">
        <v>17</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36" customHeight="1" x14ac:dyDescent="0.3">
      <c r="A285" s="16" t="s">
        <v>438</v>
      </c>
      <c r="B285" s="44" t="s">
        <v>70</v>
      </c>
      <c r="C285" s="12"/>
      <c r="D285" s="13"/>
      <c r="E285" s="44" t="str">
        <f>IF(C285="","",IF(C285="Yes","",""))</f>
        <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36" customHeight="1" x14ac:dyDescent="0.3">
      <c r="A286" s="16" t="s">
        <v>439</v>
      </c>
      <c r="B286" s="44" t="s">
        <v>71</v>
      </c>
      <c r="C286" s="90"/>
      <c r="D286" s="90"/>
      <c r="E286" s="44" t="str">
        <f>IF(C286="","","")</f>
        <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65" customHeight="1" x14ac:dyDescent="0.3">
      <c r="A287" s="16" t="s">
        <v>440</v>
      </c>
      <c r="B287" s="44" t="s">
        <v>72</v>
      </c>
      <c r="C287" s="12"/>
      <c r="D287" s="13"/>
      <c r="E287" s="44" t="str">
        <f>IF(C287="","",IF(C287="Yes","Provide a brief description.","Describe plans to implement application vulnerability scanning prior to release."))</f>
        <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49" customHeight="1" x14ac:dyDescent="0.3">
      <c r="A288" s="16" t="s">
        <v>441</v>
      </c>
      <c r="B288" s="44" t="s">
        <v>73</v>
      </c>
      <c r="C288" s="12"/>
      <c r="D288" s="13"/>
      <c r="E288" s="44" t="str">
        <f>IF(C288="","",IF(C288="Yes","Provide a brief description.","Describe any plans to implement external vulnerability scanning for your systems."))</f>
        <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36" customHeight="1" x14ac:dyDescent="0.3">
      <c r="A289" s="16" t="s">
        <v>442</v>
      </c>
      <c r="B289" s="44" t="s">
        <v>604</v>
      </c>
      <c r="C289" s="90"/>
      <c r="D289" s="90"/>
      <c r="E289" s="44" t="str">
        <f>IF(C289="","","Provide a copy of the assessment report.")</f>
        <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65" customHeight="1" x14ac:dyDescent="0.3">
      <c r="A290" s="16" t="s">
        <v>443</v>
      </c>
      <c r="B290" s="44" t="s">
        <v>533</v>
      </c>
      <c r="C290" s="80"/>
      <c r="D290" s="80"/>
      <c r="E290" s="44" t="str">
        <f>IF(C290="","","")</f>
        <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36" customHeight="1" x14ac:dyDescent="0.3">
      <c r="A291" s="16" t="s">
        <v>444</v>
      </c>
      <c r="B291" s="44" t="s">
        <v>718</v>
      </c>
      <c r="C291" s="12"/>
      <c r="D291" s="13"/>
      <c r="E291" s="44" t="str">
        <f>IF(C291="","",IF(C291="Yes","Provide documentation or a web resource.",""))</f>
        <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65" customHeight="1" x14ac:dyDescent="0.3">
      <c r="A292" s="16" t="s">
        <v>445</v>
      </c>
      <c r="B292" s="44" t="s">
        <v>534</v>
      </c>
      <c r="C292" s="80"/>
      <c r="D292" s="80"/>
      <c r="E292" s="44" t="str">
        <f>IF(C292="","","")</f>
        <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54" customHeight="1" x14ac:dyDescent="0.3">
      <c r="A293" s="16" t="s">
        <v>446</v>
      </c>
      <c r="B293" s="44" t="s">
        <v>666</v>
      </c>
      <c r="C293" s="12"/>
      <c r="D293" s="13"/>
      <c r="E293" s="44" t="str">
        <f>IF(C293="","",IF(C293="Yes","Provide a brief description.","Provide a brief explanation."))</f>
        <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36" customHeight="1" x14ac:dyDescent="0.3">
      <c r="A294" s="79" t="str">
        <f>IF(OR($C$35="No",$C$41="Yes"),"HIPAA - Optional based on QUALIFIER response.","HIPAA")</f>
        <v>HIPAA</v>
      </c>
      <c r="B294" s="79"/>
      <c r="C294" s="36" t="s">
        <v>15</v>
      </c>
      <c r="D294" s="36" t="s">
        <v>16</v>
      </c>
      <c r="E294" s="7" t="s">
        <v>17</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65" customHeight="1" x14ac:dyDescent="0.3">
      <c r="A295" s="16" t="s">
        <v>447</v>
      </c>
      <c r="B295" s="44" t="s">
        <v>179</v>
      </c>
      <c r="C295" s="12"/>
      <c r="D295" s="13"/>
      <c r="E295" s="44" t="str">
        <f>IF(C295="","",IF(C295="Yes","Provide a brief summary outling your training efforts.",""))</f>
        <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48" customHeight="1" x14ac:dyDescent="0.3">
      <c r="A296" s="16" t="s">
        <v>448</v>
      </c>
      <c r="B296" s="44" t="s">
        <v>180</v>
      </c>
      <c r="C296" s="12"/>
      <c r="D296" s="13"/>
      <c r="E296" s="44" t="str">
        <f>IF(C296="","",IF(C296="Yes","",""))</f>
        <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48" customHeight="1" x14ac:dyDescent="0.3">
      <c r="A297" s="16" t="s">
        <v>449</v>
      </c>
      <c r="B297" s="44" t="s">
        <v>181</v>
      </c>
      <c r="C297" s="12"/>
      <c r="D297" s="13"/>
      <c r="E297" s="44" t="str">
        <f t="shared" ref="E297:E305" si="11">IF(C297="","",IF(C297="Yes","",""))</f>
        <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48" customHeight="1" x14ac:dyDescent="0.3">
      <c r="A298" s="16" t="s">
        <v>450</v>
      </c>
      <c r="B298" s="44" t="s">
        <v>182</v>
      </c>
      <c r="C298" s="12"/>
      <c r="D298" s="13"/>
      <c r="E298" s="44" t="str">
        <f t="shared" si="11"/>
        <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48" customHeight="1" x14ac:dyDescent="0.3">
      <c r="A299" s="16" t="s">
        <v>451</v>
      </c>
      <c r="B299" s="44" t="s">
        <v>183</v>
      </c>
      <c r="C299" s="12"/>
      <c r="D299" s="13"/>
      <c r="E299" s="44" t="str">
        <f t="shared" si="11"/>
        <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48" customHeight="1" x14ac:dyDescent="0.3">
      <c r="A300" s="16" t="s">
        <v>452</v>
      </c>
      <c r="B300" s="44" t="s">
        <v>184</v>
      </c>
      <c r="C300" s="12"/>
      <c r="D300" s="13"/>
      <c r="E300" s="44" t="str">
        <f t="shared" si="11"/>
        <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48" customHeight="1" x14ac:dyDescent="0.3">
      <c r="A301" s="16" t="s">
        <v>453</v>
      </c>
      <c r="B301" s="44" t="s">
        <v>185</v>
      </c>
      <c r="C301" s="12"/>
      <c r="D301" s="13"/>
      <c r="E301" s="44" t="str">
        <f t="shared" si="11"/>
        <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48" customHeight="1" x14ac:dyDescent="0.3">
      <c r="A302" s="16" t="s">
        <v>454</v>
      </c>
      <c r="B302" s="44" t="s">
        <v>186</v>
      </c>
      <c r="C302" s="12"/>
      <c r="D302" s="13"/>
      <c r="E302" s="44" t="str">
        <f t="shared" si="11"/>
        <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48" customHeight="1" x14ac:dyDescent="0.3">
      <c r="A303" s="16" t="s">
        <v>455</v>
      </c>
      <c r="B303" s="44" t="s">
        <v>187</v>
      </c>
      <c r="C303" s="12"/>
      <c r="D303" s="13"/>
      <c r="E303" s="44" t="str">
        <f t="shared" si="11"/>
        <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48" customHeight="1" x14ac:dyDescent="0.3">
      <c r="A304" s="16" t="s">
        <v>456</v>
      </c>
      <c r="B304" s="44" t="s">
        <v>81</v>
      </c>
      <c r="C304" s="12"/>
      <c r="D304" s="13"/>
      <c r="E304" s="44" t="str">
        <f t="shared" si="11"/>
        <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48" customHeight="1" x14ac:dyDescent="0.3">
      <c r="A305" s="16" t="s">
        <v>457</v>
      </c>
      <c r="B305" s="44" t="s">
        <v>82</v>
      </c>
      <c r="C305" s="12"/>
      <c r="D305" s="13"/>
      <c r="E305" s="44" t="str">
        <f t="shared" si="11"/>
        <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48" customHeight="1" x14ac:dyDescent="0.3">
      <c r="A306" s="16" t="s">
        <v>458</v>
      </c>
      <c r="B306" s="44" t="s">
        <v>83</v>
      </c>
      <c r="C306" s="12"/>
      <c r="D306" s="13"/>
      <c r="E306" s="44" t="str">
        <f>IF(C306="","",IF(C306="Yes","Indicate the number of failed login attempts needed to lock-out an account.",""))</f>
        <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48" customHeight="1" x14ac:dyDescent="0.3">
      <c r="A307" s="16" t="s">
        <v>459</v>
      </c>
      <c r="B307" s="44" t="s">
        <v>84</v>
      </c>
      <c r="C307" s="12"/>
      <c r="D307" s="13"/>
      <c r="E307" s="44" t="str">
        <f>IF(C307="","",IF(C307="Yes","Provide the default configuration details.",""))</f>
        <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48" customHeight="1" x14ac:dyDescent="0.3">
      <c r="A308" s="16" t="s">
        <v>460</v>
      </c>
      <c r="B308" s="44" t="s">
        <v>85</v>
      </c>
      <c r="C308" s="12"/>
      <c r="D308" s="13"/>
      <c r="E308" s="44" t="str">
        <f>IF(C308="","",IF(C308="Yes","Provide a brief description.",""))</f>
        <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48" customHeight="1" x14ac:dyDescent="0.3">
      <c r="A309" s="16" t="s">
        <v>461</v>
      </c>
      <c r="B309" s="44" t="s">
        <v>667</v>
      </c>
      <c r="C309" s="12"/>
      <c r="D309" s="13"/>
      <c r="E309" s="44" t="str">
        <f>IF(C309="","",IF(C309="Yes","Provide a brief description.",""))</f>
        <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36" customHeight="1" x14ac:dyDescent="0.3">
      <c r="A310" s="16" t="s">
        <v>462</v>
      </c>
      <c r="B310" s="44" t="s">
        <v>86</v>
      </c>
      <c r="C310" s="12"/>
      <c r="D310" s="13"/>
      <c r="E310" s="44" t="str">
        <f>IF(C310="","",IF(C310="Yes","Provide documentation or a web resource.",""))</f>
        <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48" customHeight="1" x14ac:dyDescent="0.3">
      <c r="A311" s="16" t="s">
        <v>463</v>
      </c>
      <c r="B311" s="44" t="s">
        <v>626</v>
      </c>
      <c r="C311" s="12"/>
      <c r="D311" s="13"/>
      <c r="E311" s="44" t="str">
        <f>IF(C311="","",IF(C311="Yes","Provide documentation or a web resource.",""))</f>
        <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48" customHeight="1" x14ac:dyDescent="0.3">
      <c r="A312" s="16" t="s">
        <v>464</v>
      </c>
      <c r="B312" s="44" t="s">
        <v>87</v>
      </c>
      <c r="C312" s="12"/>
      <c r="D312" s="13"/>
      <c r="E312" s="44" t="str">
        <f>IF(C312="","",IF(C312="Yes","",""))</f>
        <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47" customHeight="1" x14ac:dyDescent="0.3">
      <c r="A313" s="16" t="s">
        <v>465</v>
      </c>
      <c r="B313" s="44" t="s">
        <v>88</v>
      </c>
      <c r="C313" s="12"/>
      <c r="D313" s="13"/>
      <c r="E313" s="44" t="str">
        <f t="shared" ref="E313:E316" si="12">IF(C313="","",IF(C313="Yes","",""))</f>
        <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47" customHeight="1" x14ac:dyDescent="0.3">
      <c r="A314" s="16" t="s">
        <v>466</v>
      </c>
      <c r="B314" s="44" t="s">
        <v>94</v>
      </c>
      <c r="C314" s="12"/>
      <c r="D314" s="13"/>
      <c r="E314" s="44" t="str">
        <f t="shared" si="12"/>
        <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48" customHeight="1" x14ac:dyDescent="0.3">
      <c r="A315" s="16" t="s">
        <v>467</v>
      </c>
      <c r="B315" s="44" t="s">
        <v>89</v>
      </c>
      <c r="C315" s="12"/>
      <c r="D315" s="13"/>
      <c r="E315" s="44" t="str">
        <f t="shared" si="12"/>
        <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65" customHeight="1" x14ac:dyDescent="0.3">
      <c r="A316" s="16" t="s">
        <v>468</v>
      </c>
      <c r="B316" s="44" t="s">
        <v>90</v>
      </c>
      <c r="C316" s="12"/>
      <c r="D316" s="13"/>
      <c r="E316" s="44" t="str">
        <f t="shared" si="12"/>
        <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36" customHeight="1" x14ac:dyDescent="0.3">
      <c r="A317" s="16" t="s">
        <v>469</v>
      </c>
      <c r="B317" s="44" t="s">
        <v>91</v>
      </c>
      <c r="C317" s="80"/>
      <c r="D317" s="80"/>
      <c r="E317" s="44" t="str">
        <f>IF(C317="","","")</f>
        <v/>
      </c>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36" customHeight="1" x14ac:dyDescent="0.3">
      <c r="A318" s="16" t="s">
        <v>470</v>
      </c>
      <c r="B318" s="44" t="s">
        <v>92</v>
      </c>
      <c r="C318" s="12"/>
      <c r="D318" s="13"/>
      <c r="E318" s="44" t="str">
        <f>IF(C318="","",IF(C318="Yes","",""))</f>
        <v/>
      </c>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36" customHeight="1" x14ac:dyDescent="0.3">
      <c r="A319" s="16" t="s">
        <v>471</v>
      </c>
      <c r="B319" s="44" t="s">
        <v>93</v>
      </c>
      <c r="C319" s="12"/>
      <c r="D319" s="13"/>
      <c r="E319" s="44" t="str">
        <f t="shared" ref="E319:E326" si="13">IF(C319="","",IF(C319="Yes","",""))</f>
        <v/>
      </c>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48" customHeight="1" x14ac:dyDescent="0.3">
      <c r="A320" s="16" t="s">
        <v>472</v>
      </c>
      <c r="B320" s="44" t="s">
        <v>188</v>
      </c>
      <c r="C320" s="12"/>
      <c r="D320" s="13"/>
      <c r="E320" s="44" t="str">
        <f t="shared" si="13"/>
        <v/>
      </c>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47" customHeight="1" x14ac:dyDescent="0.3">
      <c r="A321" s="16" t="s">
        <v>473</v>
      </c>
      <c r="B321" s="44" t="s">
        <v>189</v>
      </c>
      <c r="C321" s="12"/>
      <c r="D321" s="13"/>
      <c r="E321" s="44" t="str">
        <f>IF(C321="","",IF(C321="Yes","","Provide a brief description."))</f>
        <v/>
      </c>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36" customHeight="1" x14ac:dyDescent="0.3">
      <c r="A322" s="16" t="s">
        <v>474</v>
      </c>
      <c r="B322" s="44" t="s">
        <v>190</v>
      </c>
      <c r="C322" s="12"/>
      <c r="D322" s="13"/>
      <c r="E322" s="44" t="str">
        <f t="shared" si="13"/>
        <v/>
      </c>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36" customHeight="1" x14ac:dyDescent="0.3">
      <c r="A323" s="16" t="s">
        <v>475</v>
      </c>
      <c r="B323" s="44" t="s">
        <v>93</v>
      </c>
      <c r="C323" s="12"/>
      <c r="D323" s="13"/>
      <c r="E323" s="44" t="str">
        <f t="shared" si="13"/>
        <v/>
      </c>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36" customHeight="1" x14ac:dyDescent="0.3">
      <c r="A324" s="16" t="s">
        <v>476</v>
      </c>
      <c r="B324" s="44" t="s">
        <v>95</v>
      </c>
      <c r="C324" s="12"/>
      <c r="D324" s="13"/>
      <c r="E324" s="44" t="str">
        <f t="shared" si="13"/>
        <v/>
      </c>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36" customHeight="1" x14ac:dyDescent="0.3">
      <c r="A325" s="16" t="s">
        <v>477</v>
      </c>
      <c r="B325" s="44" t="s">
        <v>191</v>
      </c>
      <c r="C325" s="12"/>
      <c r="D325" s="13"/>
      <c r="E325" s="44" t="str">
        <f t="shared" si="13"/>
        <v/>
      </c>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47" customHeight="1" x14ac:dyDescent="0.3">
      <c r="A326" s="16" t="s">
        <v>478</v>
      </c>
      <c r="B326" s="44" t="s">
        <v>578</v>
      </c>
      <c r="C326" s="12"/>
      <c r="D326" s="13"/>
      <c r="E326" s="44" t="str">
        <f t="shared" si="13"/>
        <v/>
      </c>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36" customHeight="1" x14ac:dyDescent="0.3">
      <c r="A327" s="79" t="str">
        <f>IF(OR($C$40="No",$C$41="Yes"),"PCI DSS - Optional based on QUALIFIER response.","PCI DSS")</f>
        <v>PCI DSS</v>
      </c>
      <c r="B327" s="79"/>
      <c r="C327" s="36" t="s">
        <v>15</v>
      </c>
      <c r="D327" s="36" t="s">
        <v>16</v>
      </c>
      <c r="E327" s="7" t="s">
        <v>17</v>
      </c>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48" customHeight="1" x14ac:dyDescent="0.3">
      <c r="A328" s="16" t="s">
        <v>479</v>
      </c>
      <c r="B328" s="44" t="s">
        <v>96</v>
      </c>
      <c r="C328" s="12"/>
      <c r="D328" s="13"/>
      <c r="E328" s="44" t="str">
        <f>IF(C328="","",IF(C328="Yes","",""))</f>
        <v/>
      </c>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48" customHeight="1" x14ac:dyDescent="0.3">
      <c r="A329" s="16" t="s">
        <v>480</v>
      </c>
      <c r="B329" s="44" t="s">
        <v>97</v>
      </c>
      <c r="C329" s="12"/>
      <c r="D329" s="13"/>
      <c r="E329" s="44" t="str">
        <f>IF(C329="","",IF(C329="Yes","",""))</f>
        <v/>
      </c>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48" customHeight="1" x14ac:dyDescent="0.3">
      <c r="A330" s="16" t="s">
        <v>481</v>
      </c>
      <c r="B330" s="44" t="s">
        <v>98</v>
      </c>
      <c r="C330" s="12"/>
      <c r="D330" s="13"/>
      <c r="E330" s="44" t="str">
        <f>IF(C330="","",IF(C330="Yes","Provide a copy.",""))</f>
        <v/>
      </c>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36" customHeight="1" x14ac:dyDescent="0.3">
      <c r="A331" s="16" t="s">
        <v>482</v>
      </c>
      <c r="B331" s="44" t="s">
        <v>99</v>
      </c>
      <c r="C331" s="12"/>
      <c r="D331" s="13"/>
      <c r="E331" s="44" t="str">
        <f>IF(C331="","",IF(C331="Yes","",""))</f>
        <v/>
      </c>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36" customHeight="1" x14ac:dyDescent="0.3">
      <c r="A332" s="16" t="s">
        <v>483</v>
      </c>
      <c r="B332" s="44" t="s">
        <v>100</v>
      </c>
      <c r="C332" s="12"/>
      <c r="D332" s="13"/>
      <c r="E332" s="44" t="str">
        <f t="shared" ref="E332:E333" si="14">IF(C332="","",IF(C332="Yes","",""))</f>
        <v/>
      </c>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36" customHeight="1" x14ac:dyDescent="0.3">
      <c r="A333" s="16" t="s">
        <v>484</v>
      </c>
      <c r="B333" s="44" t="s">
        <v>101</v>
      </c>
      <c r="C333" s="12"/>
      <c r="D333" s="13"/>
      <c r="E333" s="44" t="str">
        <f t="shared" si="14"/>
        <v/>
      </c>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ht="64" customHeight="1" x14ac:dyDescent="0.3">
      <c r="A334" s="16" t="s">
        <v>485</v>
      </c>
      <c r="B334" s="44" t="s">
        <v>102</v>
      </c>
      <c r="C334" s="80"/>
      <c r="D334" s="80"/>
      <c r="E334" s="44" t="str">
        <f>IF(C334="","","")</f>
        <v/>
      </c>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ht="64" customHeight="1" x14ac:dyDescent="0.3">
      <c r="A335" s="16" t="s">
        <v>486</v>
      </c>
      <c r="B335" s="44" t="s">
        <v>103</v>
      </c>
      <c r="C335" s="80"/>
      <c r="D335" s="80"/>
      <c r="E335" s="44" t="str">
        <f>IF(C335="","","")</f>
        <v/>
      </c>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36" customHeight="1" x14ac:dyDescent="0.3">
      <c r="A336" s="16" t="s">
        <v>487</v>
      </c>
      <c r="B336" s="44" t="s">
        <v>104</v>
      </c>
      <c r="C336" s="12"/>
      <c r="D336" s="13"/>
      <c r="E336" s="44" t="str">
        <f>IF(C336="","",IF(C336="Yes","Provide a brief summary.",""))</f>
        <v/>
      </c>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36" customHeight="1" x14ac:dyDescent="0.3">
      <c r="A337" s="16" t="s">
        <v>488</v>
      </c>
      <c r="B337" s="44" t="s">
        <v>105</v>
      </c>
      <c r="C337" s="12"/>
      <c r="D337" s="13"/>
      <c r="E337" s="44" t="str">
        <f>IF(C337="","",IF(C337="Yes","Provide a brief summary.",""))</f>
        <v/>
      </c>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54" customHeight="1" x14ac:dyDescent="0.3">
      <c r="A338" s="16" t="s">
        <v>489</v>
      </c>
      <c r="B338" s="44" t="s">
        <v>207</v>
      </c>
      <c r="C338" s="12"/>
      <c r="D338" s="13"/>
      <c r="E338" s="44" t="str">
        <f>IF(C338="","",IF(C338="Yes","State the providors name and provide a current copy of their AoC or RoC.",""))</f>
        <v/>
      </c>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64" customHeight="1" x14ac:dyDescent="0.3">
      <c r="A339" s="16" t="s">
        <v>490</v>
      </c>
      <c r="B339" s="44" t="s">
        <v>106</v>
      </c>
      <c r="C339" s="80"/>
      <c r="D339" s="80"/>
      <c r="E339" s="44" t="str">
        <f>IF(C339="","","")</f>
        <v/>
      </c>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sheetData>
  <mergeCells count="141">
    <mergeCell ref="C225:D225"/>
    <mergeCell ref="C165:D165"/>
    <mergeCell ref="C267:D267"/>
    <mergeCell ref="C283:D283"/>
    <mergeCell ref="C269:D269"/>
    <mergeCell ref="C274:D274"/>
    <mergeCell ref="C3:E3"/>
    <mergeCell ref="C7:E7"/>
    <mergeCell ref="C9:E9"/>
    <mergeCell ref="C10:E10"/>
    <mergeCell ref="C11:E11"/>
    <mergeCell ref="C8:E8"/>
    <mergeCell ref="C23:E23"/>
    <mergeCell ref="C12:E12"/>
    <mergeCell ref="C21:E21"/>
    <mergeCell ref="C19:E19"/>
    <mergeCell ref="C14:E14"/>
    <mergeCell ref="C15:E15"/>
    <mergeCell ref="C16:E16"/>
    <mergeCell ref="C18:E18"/>
    <mergeCell ref="C20:E20"/>
    <mergeCell ref="C17:E17"/>
    <mergeCell ref="C24:E24"/>
    <mergeCell ref="C61:D61"/>
    <mergeCell ref="C339:D339"/>
    <mergeCell ref="C317:D317"/>
    <mergeCell ref="C286:D286"/>
    <mergeCell ref="C290:D290"/>
    <mergeCell ref="C289:D289"/>
    <mergeCell ref="C292:D292"/>
    <mergeCell ref="C335:D335"/>
    <mergeCell ref="C228:D228"/>
    <mergeCell ref="C229:D229"/>
    <mergeCell ref="C263:D263"/>
    <mergeCell ref="C238:D238"/>
    <mergeCell ref="C334:D334"/>
    <mergeCell ref="C245:D245"/>
    <mergeCell ref="C240:D240"/>
    <mergeCell ref="C253:D253"/>
    <mergeCell ref="C247:D247"/>
    <mergeCell ref="C256:D256"/>
    <mergeCell ref="C217:D217"/>
    <mergeCell ref="C162:D162"/>
    <mergeCell ref="C223:D223"/>
    <mergeCell ref="C151:D151"/>
    <mergeCell ref="C170:D170"/>
    <mergeCell ref="C160:D160"/>
    <mergeCell ref="C195:D195"/>
    <mergeCell ref="C209:D209"/>
    <mergeCell ref="C164:D164"/>
    <mergeCell ref="C200:D200"/>
    <mergeCell ref="C197:D197"/>
    <mergeCell ref="C154:D154"/>
    <mergeCell ref="C189:D189"/>
    <mergeCell ref="C152:D152"/>
    <mergeCell ref="C155:D155"/>
    <mergeCell ref="C210:D210"/>
    <mergeCell ref="C205:D205"/>
    <mergeCell ref="C88:D88"/>
    <mergeCell ref="C141:D141"/>
    <mergeCell ref="C127:D127"/>
    <mergeCell ref="C90:D90"/>
    <mergeCell ref="C100:D100"/>
    <mergeCell ref="C146:D146"/>
    <mergeCell ref="C196:D196"/>
    <mergeCell ref="C145:D145"/>
    <mergeCell ref="C113:D113"/>
    <mergeCell ref="C140:D140"/>
    <mergeCell ref="C137:D137"/>
    <mergeCell ref="C106:D106"/>
    <mergeCell ref="C114:D114"/>
    <mergeCell ref="C131:D131"/>
    <mergeCell ref="C116:D116"/>
    <mergeCell ref="C122:D122"/>
    <mergeCell ref="C139:D139"/>
    <mergeCell ref="C133:D133"/>
    <mergeCell ref="C135:D135"/>
    <mergeCell ref="C136:D136"/>
    <mergeCell ref="C130:D130"/>
    <mergeCell ref="C138:D138"/>
    <mergeCell ref="C134:D134"/>
    <mergeCell ref="C94:D94"/>
    <mergeCell ref="A1:D1"/>
    <mergeCell ref="A2:E2"/>
    <mergeCell ref="A4:B4"/>
    <mergeCell ref="A5:E5"/>
    <mergeCell ref="A31:B31"/>
    <mergeCell ref="A32:E32"/>
    <mergeCell ref="A33:B33"/>
    <mergeCell ref="A34:E34"/>
    <mergeCell ref="A42:B42"/>
    <mergeCell ref="A25:B25"/>
    <mergeCell ref="A26:E26"/>
    <mergeCell ref="A6:E6"/>
    <mergeCell ref="A13:E13"/>
    <mergeCell ref="A22:E22"/>
    <mergeCell ref="A49:B49"/>
    <mergeCell ref="A57:B57"/>
    <mergeCell ref="A62:B62"/>
    <mergeCell ref="A74:B74"/>
    <mergeCell ref="C59:D59"/>
    <mergeCell ref="C60:D60"/>
    <mergeCell ref="C84:D84"/>
    <mergeCell ref="C78:D78"/>
    <mergeCell ref="C82:D82"/>
    <mergeCell ref="C79:D79"/>
    <mergeCell ref="C81:D81"/>
    <mergeCell ref="C69:D69"/>
    <mergeCell ref="C58:D58"/>
    <mergeCell ref="C72:D72"/>
    <mergeCell ref="C50:D50"/>
    <mergeCell ref="C52:D52"/>
    <mergeCell ref="C53:D53"/>
    <mergeCell ref="C54:D54"/>
    <mergeCell ref="C55:D55"/>
    <mergeCell ref="C51:D51"/>
    <mergeCell ref="C73:D73"/>
    <mergeCell ref="A239:B239"/>
    <mergeCell ref="A246:B246"/>
    <mergeCell ref="A270:B270"/>
    <mergeCell ref="A273:B273"/>
    <mergeCell ref="A279:B279"/>
    <mergeCell ref="A284:B284"/>
    <mergeCell ref="A294:B294"/>
    <mergeCell ref="A327:B327"/>
    <mergeCell ref="C56:D56"/>
    <mergeCell ref="C91:D91"/>
    <mergeCell ref="A95:B95"/>
    <mergeCell ref="A115:B115"/>
    <mergeCell ref="A128:B128"/>
    <mergeCell ref="A144:B144"/>
    <mergeCell ref="A176:B176"/>
    <mergeCell ref="A179:B179"/>
    <mergeCell ref="A199:B199"/>
    <mergeCell ref="A214:B214"/>
    <mergeCell ref="A227:B227"/>
    <mergeCell ref="C85:D85"/>
    <mergeCell ref="C87:D87"/>
    <mergeCell ref="C98:D98"/>
    <mergeCell ref="C99:D99"/>
    <mergeCell ref="C104:D104"/>
  </mergeCells>
  <conditionalFormatting sqref="C227:E227 A227">
    <cfRule type="expression" dxfId="234" priority="277">
      <formula>$C$36="No"</formula>
    </cfRule>
  </conditionalFormatting>
  <conditionalFormatting sqref="C294:E294 A294">
    <cfRule type="expression" dxfId="233" priority="276">
      <formula>$C$35="No"</formula>
    </cfRule>
  </conditionalFormatting>
  <conditionalFormatting sqref="C57:E57 A57">
    <cfRule type="expression" dxfId="232" priority="274">
      <formula>$C$37="No"</formula>
    </cfRule>
  </conditionalFormatting>
  <conditionalFormatting sqref="C199:E199 A199">
    <cfRule type="expression" dxfId="231" priority="272">
      <formula>$C$39="No"</formula>
    </cfRule>
  </conditionalFormatting>
  <conditionalFormatting sqref="A184:E185">
    <cfRule type="expression" dxfId="230" priority="26">
      <formula>$C$183="No"</formula>
    </cfRule>
  </conditionalFormatting>
  <conditionalFormatting sqref="A189:E189">
    <cfRule type="expression" dxfId="229" priority="269">
      <formula>$C$188="No"</formula>
    </cfRule>
  </conditionalFormatting>
  <conditionalFormatting sqref="A185:E185">
    <cfRule type="expression" dxfId="228" priority="25">
      <formula>$C$184="No"</formula>
    </cfRule>
  </conditionalFormatting>
  <conditionalFormatting sqref="B76 D76:E76">
    <cfRule type="expression" dxfId="227" priority="268">
      <formula>$C$75="No"</formula>
    </cfRule>
  </conditionalFormatting>
  <conditionalFormatting sqref="A108:E108">
    <cfRule type="expression" dxfId="226" priority="36">
      <formula>$C$107="No"</formula>
    </cfRule>
  </conditionalFormatting>
  <conditionalFormatting sqref="A110:E111">
    <cfRule type="expression" dxfId="225" priority="263">
      <formula>$C$109="No"</formula>
    </cfRule>
  </conditionalFormatting>
  <conditionalFormatting sqref="B81:E81">
    <cfRule type="expression" dxfId="224" priority="37">
      <formula>$C$80="No"</formula>
    </cfRule>
  </conditionalFormatting>
  <conditionalFormatting sqref="A164:E164">
    <cfRule type="expression" dxfId="223" priority="223">
      <formula>$C$163="No"</formula>
    </cfRule>
  </conditionalFormatting>
  <conditionalFormatting sqref="A104:E104">
    <cfRule type="expression" dxfId="222" priority="35">
      <formula>$C$103="No"</formula>
    </cfRule>
  </conditionalFormatting>
  <conditionalFormatting sqref="A286:E286">
    <cfRule type="expression" dxfId="221" priority="7">
      <formula>$C$285="No"</formula>
    </cfRule>
  </conditionalFormatting>
  <conditionalFormatting sqref="A289:E289">
    <cfRule type="expression" dxfId="220" priority="8">
      <formula>$C$288="No"</formula>
    </cfRule>
  </conditionalFormatting>
  <conditionalFormatting sqref="B235:E235">
    <cfRule type="expression" dxfId="219" priority="19">
      <formula>$C$234="No"</formula>
    </cfRule>
  </conditionalFormatting>
  <conditionalFormatting sqref="B238:E238">
    <cfRule type="expression" dxfId="218" priority="20">
      <formula>$C$237="No"</formula>
    </cfRule>
  </conditionalFormatting>
  <conditionalFormatting sqref="C327:E327 A327">
    <cfRule type="expression" dxfId="217" priority="255">
      <formula>$C$40="No"</formula>
    </cfRule>
  </conditionalFormatting>
  <conditionalFormatting sqref="A319:E319">
    <cfRule type="expression" dxfId="216" priority="85">
      <formula>$C$318="No"</formula>
    </cfRule>
  </conditionalFormatting>
  <conditionalFormatting sqref="A266:E266">
    <cfRule type="expression" dxfId="215" priority="16">
      <formula>$C$265="No"</formula>
    </cfRule>
  </conditionalFormatting>
  <conditionalFormatting sqref="A263:E263">
    <cfRule type="expression" dxfId="214" priority="15">
      <formula>$C$262="No"</formula>
    </cfRule>
  </conditionalFormatting>
  <conditionalFormatting sqref="B69:E70">
    <cfRule type="expression" dxfId="213" priority="243">
      <formula>$C$68="No"</formula>
    </cfRule>
  </conditionalFormatting>
  <conditionalFormatting sqref="B72:C73 E72:E73">
    <cfRule type="expression" dxfId="212" priority="242">
      <formula>$C$71="No"</formula>
    </cfRule>
  </conditionalFormatting>
  <conditionalFormatting sqref="C62:E62 A62">
    <cfRule type="expression" dxfId="211" priority="239">
      <formula>$C$41="No"</formula>
    </cfRule>
  </conditionalFormatting>
  <conditionalFormatting sqref="A154:E154">
    <cfRule type="expression" dxfId="210" priority="29">
      <formula>$C$153="No"</formula>
    </cfRule>
  </conditionalFormatting>
  <conditionalFormatting sqref="C171:D171 C172:C175">
    <cfRule type="expression" dxfId="209" priority="231">
      <formula>$C$170="No"</formula>
    </cfRule>
  </conditionalFormatting>
  <conditionalFormatting sqref="A158:E158">
    <cfRule type="expression" dxfId="208" priority="30">
      <formula>$C$157="No"</formula>
    </cfRule>
  </conditionalFormatting>
  <conditionalFormatting sqref="A130:E130">
    <cfRule type="expression" dxfId="207" priority="31">
      <formula>$C$129="No"</formula>
    </cfRule>
  </conditionalFormatting>
  <conditionalFormatting sqref="A195:E195">
    <cfRule type="expression" dxfId="206" priority="210">
      <formula>$C$194="No"</formula>
    </cfRule>
  </conditionalFormatting>
  <conditionalFormatting sqref="A225:E225">
    <cfRule type="expression" dxfId="205" priority="21">
      <formula>$C$224="No"</formula>
    </cfRule>
  </conditionalFormatting>
  <conditionalFormatting sqref="A206:E206 A205:C205 E205">
    <cfRule type="expression" dxfId="204" priority="23">
      <formula>$C$204="No"</formula>
    </cfRule>
  </conditionalFormatting>
  <conditionalFormatting sqref="C115:E115 A115">
    <cfRule type="expression" dxfId="203" priority="132">
      <formula>$C$38="No"</formula>
    </cfRule>
  </conditionalFormatting>
  <conditionalFormatting sqref="A302:E303">
    <cfRule type="expression" dxfId="202" priority="5">
      <formula>$C$301="No"</formula>
    </cfRule>
  </conditionalFormatting>
  <conditionalFormatting sqref="A303:E303">
    <cfRule type="expression" dxfId="201" priority="6">
      <formula>$C$302="No"</formula>
    </cfRule>
  </conditionalFormatting>
  <conditionalFormatting sqref="B63:B73 E63:E73">
    <cfRule type="expression" dxfId="200" priority="59">
      <formula>$C$41="No"</formula>
    </cfRule>
  </conditionalFormatting>
  <conditionalFormatting sqref="B58:B60 E58:E61">
    <cfRule type="expression" dxfId="199" priority="58">
      <formula>$C$37="No"</formula>
    </cfRule>
  </conditionalFormatting>
  <conditionalFormatting sqref="C283:D283">
    <cfRule type="expression" dxfId="198" priority="51">
      <formula>$C$188="No"</formula>
    </cfRule>
  </conditionalFormatting>
  <conditionalFormatting sqref="C269:D269">
    <cfRule type="expression" dxfId="197" priority="47">
      <formula>$C$262="No"</formula>
    </cfRule>
  </conditionalFormatting>
  <conditionalFormatting sqref="B61">
    <cfRule type="expression" dxfId="196" priority="45">
      <formula>$C$37="No"</formula>
    </cfRule>
  </conditionalFormatting>
  <conditionalFormatting sqref="A74:E74 A95:E95 A115:E115 A128:E128 A144:E144 A179:E179 A199:E199 A214:E214 A227:E227 A246:E246 A270:E270 A273:E273 A279:E279 A294:E294 A327:E327">
    <cfRule type="expression" dxfId="195" priority="42">
      <formula>$C$41="Yes"</formula>
    </cfRule>
  </conditionalFormatting>
  <conditionalFormatting sqref="A176:E176">
    <cfRule type="expression" dxfId="194" priority="40">
      <formula>$C$41="Yes"</formula>
    </cfRule>
  </conditionalFormatting>
  <conditionalFormatting sqref="A239:E239">
    <cfRule type="expression" dxfId="193" priority="39">
      <formula>$C$41="Yes"</formula>
    </cfRule>
  </conditionalFormatting>
  <conditionalFormatting sqref="A284:E284">
    <cfRule type="expression" dxfId="192" priority="38">
      <formula>$C$41="Yes"</formula>
    </cfRule>
  </conditionalFormatting>
  <conditionalFormatting sqref="B75:B93 E75:E94">
    <cfRule type="expression" dxfId="191" priority="265">
      <formula>$C$41="Yes"</formula>
    </cfRule>
  </conditionalFormatting>
  <conditionalFormatting sqref="B96:B114">
    <cfRule type="expression" dxfId="190" priority="267">
      <formula>$C$41="Yes"</formula>
    </cfRule>
  </conditionalFormatting>
  <conditionalFormatting sqref="E96:E114">
    <cfRule type="expression" dxfId="189" priority="266">
      <formula>$C$41="Yes"</formula>
    </cfRule>
  </conditionalFormatting>
  <conditionalFormatting sqref="B116:B127">
    <cfRule type="expression" dxfId="188" priority="34">
      <formula>$C$41="Yes"</formula>
    </cfRule>
  </conditionalFormatting>
  <conditionalFormatting sqref="E116:E127">
    <cfRule type="expression" dxfId="187" priority="33">
      <formula>$C$41="Yes"</formula>
    </cfRule>
  </conditionalFormatting>
  <conditionalFormatting sqref="B129:B143">
    <cfRule type="expression" dxfId="186" priority="216">
      <formula>$C$41="Yes"</formula>
    </cfRule>
  </conditionalFormatting>
  <conditionalFormatting sqref="E129:E143">
    <cfRule type="expression" dxfId="185" priority="32">
      <formula>$C$41="Yes"</formula>
    </cfRule>
  </conditionalFormatting>
  <conditionalFormatting sqref="B145:B175">
    <cfRule type="expression" dxfId="184" priority="283">
      <formula>$C$41="Yes"</formula>
    </cfRule>
  </conditionalFormatting>
  <conditionalFormatting sqref="E145:E175">
    <cfRule type="expression" dxfId="183" priority="237">
      <formula>$C$41="Yes"</formula>
    </cfRule>
  </conditionalFormatting>
  <conditionalFormatting sqref="B177:B178">
    <cfRule type="expression" dxfId="182" priority="28">
      <formula>$C$41="Yes"</formula>
    </cfRule>
  </conditionalFormatting>
  <conditionalFormatting sqref="E177:E178">
    <cfRule type="expression" dxfId="181" priority="27">
      <formula>$C$41="Yes"</formula>
    </cfRule>
  </conditionalFormatting>
  <conditionalFormatting sqref="B180:B198">
    <cfRule type="expression" dxfId="180" priority="271">
      <formula>$C$41="Yes"</formula>
    </cfRule>
  </conditionalFormatting>
  <conditionalFormatting sqref="E180:E198">
    <cfRule type="expression" dxfId="179" priority="270">
      <formula>$C$41="Yes"</formula>
    </cfRule>
  </conditionalFormatting>
  <conditionalFormatting sqref="B200:B213">
    <cfRule type="expression" dxfId="178" priority="140">
      <formula>$C$41="Yes"</formula>
    </cfRule>
  </conditionalFormatting>
  <conditionalFormatting sqref="E200:E213">
    <cfRule type="expression" dxfId="177" priority="24">
      <formula>$C$41="Yes"</formula>
    </cfRule>
  </conditionalFormatting>
  <conditionalFormatting sqref="B215:B226">
    <cfRule type="expression" dxfId="176" priority="171">
      <formula>$C$41="Yes"</formula>
    </cfRule>
  </conditionalFormatting>
  <conditionalFormatting sqref="E215:E226">
    <cfRule type="expression" dxfId="175" priority="22">
      <formula>$C$41="Yes"</formula>
    </cfRule>
  </conditionalFormatting>
  <conditionalFormatting sqref="B228:B238">
    <cfRule type="expression" dxfId="174" priority="259">
      <formula>$C$41="Yes"</formula>
    </cfRule>
  </conditionalFormatting>
  <conditionalFormatting sqref="E228:E238">
    <cfRule type="expression" dxfId="173" priority="257">
      <formula>$C$41="Yes"</formula>
    </cfRule>
  </conditionalFormatting>
  <conditionalFormatting sqref="B240:B245">
    <cfRule type="expression" dxfId="172" priority="18">
      <formula>$C$41="Yes"</formula>
    </cfRule>
  </conditionalFormatting>
  <conditionalFormatting sqref="E240:E245">
    <cfRule type="expression" dxfId="171" priority="17">
      <formula>$C$41="Yes"</formula>
    </cfRule>
  </conditionalFormatting>
  <conditionalFormatting sqref="B247:B269">
    <cfRule type="expression" dxfId="170" priority="247">
      <formula>$C$41="Yes"</formula>
    </cfRule>
  </conditionalFormatting>
  <conditionalFormatting sqref="E247:E269">
    <cfRule type="expression" dxfId="169" priority="246">
      <formula>$C$41="Yes"</formula>
    </cfRule>
  </conditionalFormatting>
  <conditionalFormatting sqref="B271:B272">
    <cfRule type="expression" dxfId="168" priority="14">
      <formula>$C$41="Yes"</formula>
    </cfRule>
  </conditionalFormatting>
  <conditionalFormatting sqref="E271:E272">
    <cfRule type="expression" dxfId="167" priority="13">
      <formula>$C$41="Yes"</formula>
    </cfRule>
  </conditionalFormatting>
  <conditionalFormatting sqref="B274:B278">
    <cfRule type="expression" dxfId="166" priority="12">
      <formula>$C$41="Yes"</formula>
    </cfRule>
  </conditionalFormatting>
  <conditionalFormatting sqref="E274:E278">
    <cfRule type="expression" dxfId="165" priority="11">
      <formula>$C$41="Yes"</formula>
    </cfRule>
  </conditionalFormatting>
  <conditionalFormatting sqref="B280:B283">
    <cfRule type="expression" dxfId="164" priority="10">
      <formula>$C$41="Yes"</formula>
    </cfRule>
  </conditionalFormatting>
  <conditionalFormatting sqref="E280:E283">
    <cfRule type="expression" dxfId="163" priority="9">
      <formula>$C$41="Yes"</formula>
    </cfRule>
  </conditionalFormatting>
  <conditionalFormatting sqref="B285:B293">
    <cfRule type="expression" dxfId="162" priority="262">
      <formula>$C$41="Yes"</formula>
    </cfRule>
  </conditionalFormatting>
  <conditionalFormatting sqref="E285:E293">
    <cfRule type="expression" dxfId="161" priority="261">
      <formula>$C$41="Yes"</formula>
    </cfRule>
  </conditionalFormatting>
  <conditionalFormatting sqref="B295:B326">
    <cfRule type="expression" dxfId="160" priority="249">
      <formula>$C$41="Yes"</formula>
    </cfRule>
  </conditionalFormatting>
  <conditionalFormatting sqref="E295:E326">
    <cfRule type="expression" dxfId="159" priority="86">
      <formula>$C$41="Yes"</formula>
    </cfRule>
  </conditionalFormatting>
  <conditionalFormatting sqref="B328:B339">
    <cfRule type="expression" dxfId="158" priority="4">
      <formula>$C$41="Yes"</formula>
    </cfRule>
  </conditionalFormatting>
  <conditionalFormatting sqref="E328:E339">
    <cfRule type="expression" dxfId="157" priority="3">
      <formula>$C$41="Yes"</formula>
    </cfRule>
  </conditionalFormatting>
  <conditionalFormatting sqref="A322:E322">
    <cfRule type="expression" dxfId="156" priority="2">
      <formula>$C$321="No"</formula>
    </cfRule>
  </conditionalFormatting>
  <conditionalFormatting sqref="B94">
    <cfRule type="expression" dxfId="155" priority="1">
      <formula>$C$41="Yes"</formula>
    </cfRule>
  </conditionalFormatting>
  <pageMargins left="0.75" right="0.75" top="1" bottom="1" header="0.5" footer="0.5"/>
  <pageSetup orientation="landscape" r:id="rId1"/>
  <headerFooter>
    <oddFooter>&amp;L&amp;"Helvetica,Regular"&amp;12&amp;K000000	&amp;P</oddFooter>
  </headerFooter>
  <ignoredErrors>
    <ignoredError sqref="E168 E166 E172 E80 E122 E163 E170 E194 E220:E221 E291 E268 E266 E89 E330 E153 E161 E212 E224 E132 E186 E317 E321 E105" formula="1"/>
  </ignoredError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Values!$A$4:$A$5</xm:f>
          </x14:formula1>
          <xm:sqref>C280:C282 C27 C226 C43:C48 C35:C41 C70:C71 C92 C89 C86 C83 C80 C96:C97 C75:C77 C105 C107:C112 C117:C121 C129 C132 C142:C143 C101:C103 C153 C147:C150 C161 C163 C156:C159 C166:C169 C177:C178 C218:C222 C328:C333 C336:C338 C193:C194 C187:C188 C198 C215:C216 C211:C213 C224 C123:C126 C230:C237 C241:C244 C254:C255 C248:C252 C257:C262 C268 C271:C272 C264:C266 C285 C275:C278 C291 C293 C295:C316 C287:C288 C318:C326 C171:C175 C190:C191 C64:C68 C180:C185 C201:C204 C206:C208</xm:sqref>
        </x14:dataValidation>
        <x14:dataValidation type="list" allowBlank="1" showInputMessage="1" showErrorMessage="1">
          <x14:formula1>
            <xm:f>Values!$A$22:$A$23</xm:f>
          </x14:formula1>
          <xm:sqref>C63</xm:sqref>
        </x14:dataValidation>
        <x14:dataValidation type="list" allowBlank="1" showInputMessage="1" showErrorMessage="1">
          <x14:formula1>
            <xm:f>Values!$A$30:$A$31</xm:f>
          </x14:formula1>
          <xm:sqref>C93</xm:sqref>
        </x14:dataValidation>
        <x14:dataValidation type="list" allowBlank="1" showInputMessage="1" showErrorMessage="1">
          <x14:formula1>
            <xm:f>Values!$A$34:$A$35</xm:f>
          </x14:formula1>
          <xm:sqref>C29:C30</xm:sqref>
        </x14:dataValidation>
        <x14:dataValidation type="list" allowBlank="1" showInputMessage="1" showErrorMessage="1">
          <x14:formula1>
            <xm:f>Values!$A$38:$A$39</xm:f>
          </x14:formula1>
          <xm:sqref>C28</xm:sqref>
        </x14:dataValidation>
        <x14:dataValidation type="list" allowBlank="1" showInputMessage="1" showErrorMessage="1">
          <x14:formula1>
            <xm:f>Values!$A$15:$A$19</xm:f>
          </x14:formula1>
          <xm:sqref>C186</xm:sqref>
        </x14:dataValidation>
        <x14:dataValidation type="list" allowBlank="1" showInputMessage="1" showErrorMessage="1">
          <x14:formula1>
            <xm:f>Values!$A$42:$A$46</xm:f>
          </x14:formula1>
          <xm:sqref>C192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Y307"/>
  <sheetViews>
    <sheetView showGridLines="0" topLeftCell="A294" zoomScale="80" zoomScaleNormal="80" zoomScalePageLayoutView="80" workbookViewId="0">
      <selection activeCell="B298" sqref="B298"/>
    </sheetView>
  </sheetViews>
  <sheetFormatPr defaultColWidth="6.59765625" defaultRowHeight="15" customHeight="1" x14ac:dyDescent="0.25"/>
  <cols>
    <col min="1" max="1" width="8.265625" customWidth="1"/>
    <col min="2" max="2" width="58.46484375" style="61" customWidth="1"/>
    <col min="3" max="3" width="24.59765625" style="62" customWidth="1"/>
    <col min="4" max="4" width="24.59765625" style="63" customWidth="1"/>
    <col min="5" max="5" width="24.59765625" style="55" customWidth="1"/>
    <col min="6" max="6" width="24.59765625" style="62" customWidth="1"/>
    <col min="7" max="7" width="24.59765625" style="33" customWidth="1"/>
    <col min="8" max="8" width="26.59765625" style="55" customWidth="1"/>
    <col min="9" max="259" width="6.59765625" style="3" customWidth="1"/>
  </cols>
  <sheetData>
    <row r="1" spans="1:259" ht="36" customHeight="1" x14ac:dyDescent="0.25">
      <c r="A1" s="81" t="s">
        <v>727</v>
      </c>
      <c r="B1" s="81"/>
      <c r="C1" s="81"/>
      <c r="D1" s="81"/>
      <c r="E1" s="50"/>
      <c r="F1" s="50"/>
      <c r="G1" s="64"/>
      <c r="H1" s="56" t="s">
        <v>722</v>
      </c>
    </row>
    <row r="2" spans="1:259" ht="26" customHeight="1" x14ac:dyDescent="0.25">
      <c r="A2" s="102" t="s">
        <v>124</v>
      </c>
      <c r="B2" s="103"/>
      <c r="C2" s="103"/>
      <c r="D2" s="103"/>
      <c r="E2" s="103"/>
      <c r="F2" s="103"/>
      <c r="G2" s="103"/>
      <c r="H2" s="104"/>
    </row>
    <row r="3" spans="1:259" s="49" customFormat="1" ht="36" customHeight="1" x14ac:dyDescent="0.25">
      <c r="A3" s="79" t="s">
        <v>14</v>
      </c>
      <c r="B3" s="79"/>
      <c r="C3" s="51" t="s">
        <v>728</v>
      </c>
      <c r="D3" s="51" t="s">
        <v>729</v>
      </c>
      <c r="E3" s="51" t="s">
        <v>1067</v>
      </c>
      <c r="F3" s="51" t="s">
        <v>732</v>
      </c>
      <c r="G3" s="36" t="s">
        <v>731</v>
      </c>
      <c r="H3" s="51" t="s">
        <v>730</v>
      </c>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row>
    <row r="4" spans="1:259" ht="48" customHeight="1" x14ac:dyDescent="0.25">
      <c r="A4" s="16" t="s">
        <v>215</v>
      </c>
      <c r="B4" s="57" t="s">
        <v>123</v>
      </c>
      <c r="C4" s="52" t="s">
        <v>735</v>
      </c>
      <c r="D4" s="52" t="s">
        <v>783</v>
      </c>
      <c r="E4" s="52" t="s">
        <v>784</v>
      </c>
      <c r="F4" s="52" t="s">
        <v>866</v>
      </c>
      <c r="G4" s="65" t="s">
        <v>866</v>
      </c>
      <c r="H4" s="52" t="s">
        <v>990</v>
      </c>
    </row>
    <row r="5" spans="1:259" ht="48" customHeight="1" x14ac:dyDescent="0.25">
      <c r="A5" s="16" t="s">
        <v>216</v>
      </c>
      <c r="B5" s="57" t="s">
        <v>733</v>
      </c>
      <c r="C5" s="52" t="s">
        <v>736</v>
      </c>
      <c r="D5" s="53"/>
      <c r="E5" s="53"/>
      <c r="F5" s="53"/>
      <c r="G5" s="66"/>
      <c r="H5" s="52" t="s">
        <v>991</v>
      </c>
    </row>
    <row r="6" spans="1:259" ht="48" customHeight="1" x14ac:dyDescent="0.25">
      <c r="A6" s="16" t="s">
        <v>217</v>
      </c>
      <c r="B6" s="57" t="s">
        <v>734</v>
      </c>
      <c r="C6" s="52" t="s">
        <v>735</v>
      </c>
      <c r="D6" s="53"/>
      <c r="E6" s="53"/>
      <c r="F6" s="52" t="s">
        <v>867</v>
      </c>
      <c r="G6" s="65" t="s">
        <v>867</v>
      </c>
      <c r="H6" s="53"/>
    </row>
    <row r="7" spans="1:259" ht="48" customHeight="1" x14ac:dyDescent="0.25">
      <c r="A7" s="16" t="s">
        <v>218</v>
      </c>
      <c r="B7" s="57" t="s">
        <v>203</v>
      </c>
      <c r="C7" s="52" t="s">
        <v>737</v>
      </c>
      <c r="D7" s="53"/>
      <c r="E7" s="52" t="s">
        <v>785</v>
      </c>
      <c r="F7" s="52" t="s">
        <v>868</v>
      </c>
      <c r="G7" s="65" t="s">
        <v>868</v>
      </c>
      <c r="H7" s="52" t="s">
        <v>992</v>
      </c>
    </row>
    <row r="8" spans="1:259" ht="48" customHeight="1" x14ac:dyDescent="0.25">
      <c r="A8" s="16" t="s">
        <v>219</v>
      </c>
      <c r="B8" s="57" t="s">
        <v>204</v>
      </c>
      <c r="C8" s="52" t="s">
        <v>737</v>
      </c>
      <c r="D8" s="53"/>
      <c r="E8" s="52" t="s">
        <v>785</v>
      </c>
      <c r="F8" s="52" t="s">
        <v>868</v>
      </c>
      <c r="G8" s="65" t="s">
        <v>868</v>
      </c>
      <c r="H8" s="52" t="s">
        <v>993</v>
      </c>
    </row>
    <row r="9" spans="1:259" ht="48" customHeight="1" x14ac:dyDescent="0.25">
      <c r="A9" s="16" t="s">
        <v>220</v>
      </c>
      <c r="B9" s="57" t="s">
        <v>18</v>
      </c>
      <c r="C9" s="52" t="s">
        <v>735</v>
      </c>
      <c r="D9" s="53"/>
      <c r="E9" s="52" t="s">
        <v>784</v>
      </c>
      <c r="F9" s="52" t="s">
        <v>866</v>
      </c>
      <c r="G9" s="65" t="s">
        <v>866</v>
      </c>
      <c r="H9" s="52" t="s">
        <v>990</v>
      </c>
    </row>
    <row r="10" spans="1:259" ht="48" customHeight="1" x14ac:dyDescent="0.25">
      <c r="A10" s="16" t="s">
        <v>221</v>
      </c>
      <c r="B10" s="57" t="s">
        <v>642</v>
      </c>
      <c r="C10" s="52" t="s">
        <v>738</v>
      </c>
      <c r="D10" s="53"/>
      <c r="E10" s="53"/>
      <c r="F10" s="53"/>
      <c r="G10" s="66"/>
      <c r="H10" s="53"/>
    </row>
    <row r="11" spans="1:259" s="49" customFormat="1" ht="36" customHeight="1" x14ac:dyDescent="0.25">
      <c r="A11" s="100" t="s">
        <v>20</v>
      </c>
      <c r="B11" s="101"/>
      <c r="C11" s="51" t="str">
        <f>$C$3</f>
        <v>CIS Critical Security Controls v6.1</v>
      </c>
      <c r="D11" s="51" t="str">
        <f>$D$3</f>
        <v>HIPAA</v>
      </c>
      <c r="E11" s="51" t="str">
        <f>$E$3</f>
        <v>ISO 27002:2013</v>
      </c>
      <c r="F11" s="51" t="str">
        <f>$F$3</f>
        <v>NIST Cybersecurity Framework</v>
      </c>
      <c r="G11" s="36" t="str">
        <f>$G$3</f>
        <v>NIST SP 800-171r1</v>
      </c>
      <c r="H11" s="51" t="str">
        <f>$H$3</f>
        <v>NIST SP 800-53r4</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row>
    <row r="12" spans="1:259" ht="64" customHeight="1" x14ac:dyDescent="0.25">
      <c r="A12" s="16" t="s">
        <v>222</v>
      </c>
      <c r="B12" s="57" t="s">
        <v>21</v>
      </c>
      <c r="C12" s="53"/>
      <c r="D12" s="53"/>
      <c r="E12" s="52" t="s">
        <v>786</v>
      </c>
      <c r="F12" s="53"/>
      <c r="G12" s="66"/>
      <c r="H12" s="52" t="s">
        <v>994</v>
      </c>
    </row>
    <row r="13" spans="1:259" ht="48" customHeight="1" x14ac:dyDescent="0.25">
      <c r="A13" s="16" t="s">
        <v>223</v>
      </c>
      <c r="B13" s="57" t="s">
        <v>173</v>
      </c>
      <c r="C13" s="53"/>
      <c r="D13" s="53"/>
      <c r="E13" s="52" t="s">
        <v>786</v>
      </c>
      <c r="F13" s="53"/>
      <c r="G13" s="66"/>
      <c r="H13" s="52" t="s">
        <v>995</v>
      </c>
    </row>
    <row r="14" spans="1:259" ht="48" customHeight="1" x14ac:dyDescent="0.25">
      <c r="A14" s="16" t="s">
        <v>224</v>
      </c>
      <c r="B14" s="57" t="s">
        <v>22</v>
      </c>
      <c r="C14" s="53"/>
      <c r="D14" s="53"/>
      <c r="E14" s="52" t="s">
        <v>786</v>
      </c>
      <c r="F14" s="53"/>
      <c r="G14" s="66"/>
      <c r="H14" s="52" t="s">
        <v>995</v>
      </c>
    </row>
    <row r="15" spans="1:259" ht="64" customHeight="1" x14ac:dyDescent="0.25">
      <c r="A15" s="16" t="s">
        <v>225</v>
      </c>
      <c r="B15" s="57" t="s">
        <v>515</v>
      </c>
      <c r="C15" s="53"/>
      <c r="D15" s="53"/>
      <c r="E15" s="52" t="s">
        <v>784</v>
      </c>
      <c r="F15" s="53"/>
      <c r="G15" s="66"/>
      <c r="H15" s="52" t="s">
        <v>994</v>
      </c>
    </row>
    <row r="16" spans="1:259" ht="48" customHeight="1" x14ac:dyDescent="0.25">
      <c r="A16" s="16" t="s">
        <v>226</v>
      </c>
      <c r="B16" s="57" t="s">
        <v>174</v>
      </c>
      <c r="C16" s="53"/>
      <c r="D16" s="53"/>
      <c r="E16" s="52" t="s">
        <v>784</v>
      </c>
      <c r="F16" s="53"/>
      <c r="G16" s="66"/>
      <c r="H16" s="52" t="s">
        <v>994</v>
      </c>
    </row>
    <row r="17" spans="1:259" ht="48" customHeight="1" x14ac:dyDescent="0.25">
      <c r="A17" s="16" t="s">
        <v>227</v>
      </c>
      <c r="B17" s="57" t="s">
        <v>565</v>
      </c>
      <c r="C17" s="53"/>
      <c r="D17" s="52" t="s">
        <v>767</v>
      </c>
      <c r="E17" s="52" t="s">
        <v>787</v>
      </c>
      <c r="F17" s="52" t="s">
        <v>866</v>
      </c>
      <c r="G17" s="65" t="s">
        <v>866</v>
      </c>
      <c r="H17" s="52" t="s">
        <v>994</v>
      </c>
    </row>
    <row r="18" spans="1:259" s="49" customFormat="1" ht="36" customHeight="1" x14ac:dyDescent="0.25">
      <c r="A18" s="79" t="s">
        <v>199</v>
      </c>
      <c r="B18" s="79"/>
      <c r="C18" s="51" t="str">
        <f>$C$3</f>
        <v>CIS Critical Security Controls v6.1</v>
      </c>
      <c r="D18" s="51" t="str">
        <f>$D$3</f>
        <v>HIPAA</v>
      </c>
      <c r="E18" s="51" t="str">
        <f>$E$3</f>
        <v>ISO 27002:2013</v>
      </c>
      <c r="F18" s="51" t="str">
        <f>$F$3</f>
        <v>NIST Cybersecurity Framework</v>
      </c>
      <c r="G18" s="36" t="str">
        <f>$G$3</f>
        <v>NIST SP 800-171r1</v>
      </c>
      <c r="H18" s="51" t="str">
        <f>$H$3</f>
        <v>NIST SP 800-53r4</v>
      </c>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row>
    <row r="19" spans="1:259" ht="54" customHeight="1" x14ac:dyDescent="0.25">
      <c r="A19" s="16" t="s">
        <v>228</v>
      </c>
      <c r="B19" s="57" t="s">
        <v>200</v>
      </c>
      <c r="C19" s="53"/>
      <c r="D19" s="53"/>
      <c r="E19" s="53"/>
      <c r="F19" s="53"/>
      <c r="G19" s="66"/>
      <c r="H19" s="53"/>
    </row>
    <row r="20" spans="1:259" ht="54" customHeight="1" x14ac:dyDescent="0.25">
      <c r="A20" s="16" t="s">
        <v>229</v>
      </c>
      <c r="B20" s="57" t="s">
        <v>202</v>
      </c>
      <c r="C20" s="53"/>
      <c r="D20" s="53"/>
      <c r="E20" s="53"/>
      <c r="F20" s="53"/>
      <c r="G20" s="66"/>
      <c r="H20" s="53"/>
    </row>
    <row r="21" spans="1:259" ht="54" customHeight="1" x14ac:dyDescent="0.25">
      <c r="A21" s="16" t="s">
        <v>230</v>
      </c>
      <c r="B21" s="57" t="s">
        <v>566</v>
      </c>
      <c r="C21" s="53"/>
      <c r="D21" s="53"/>
      <c r="E21" s="52" t="s">
        <v>786</v>
      </c>
      <c r="F21" s="53"/>
      <c r="G21" s="66"/>
      <c r="H21" s="53"/>
    </row>
    <row r="22" spans="1:259" ht="64" customHeight="1" x14ac:dyDescent="0.25">
      <c r="A22" s="16" t="s">
        <v>231</v>
      </c>
      <c r="B22" s="57" t="s">
        <v>201</v>
      </c>
      <c r="C22" s="53"/>
      <c r="D22" s="53"/>
      <c r="E22" s="52" t="s">
        <v>788</v>
      </c>
      <c r="F22" s="53"/>
      <c r="G22" s="66"/>
      <c r="H22" s="53"/>
    </row>
    <row r="23" spans="1:259" ht="54" customHeight="1" x14ac:dyDescent="0.25">
      <c r="A23" s="16" t="s">
        <v>232</v>
      </c>
      <c r="B23" s="57" t="s">
        <v>679</v>
      </c>
      <c r="C23" s="53"/>
      <c r="D23" s="53"/>
      <c r="E23" s="52" t="s">
        <v>786</v>
      </c>
      <c r="F23" s="53"/>
      <c r="G23" s="66"/>
      <c r="H23" s="53"/>
    </row>
    <row r="24" spans="1:259" ht="64" customHeight="1" x14ac:dyDescent="0.25">
      <c r="A24" s="16" t="s">
        <v>233</v>
      </c>
      <c r="B24" s="57" t="s">
        <v>680</v>
      </c>
      <c r="C24" s="53"/>
      <c r="D24" s="53"/>
      <c r="E24" s="52" t="s">
        <v>789</v>
      </c>
      <c r="F24" s="53"/>
      <c r="G24" s="66"/>
      <c r="H24" s="52" t="s">
        <v>996</v>
      </c>
    </row>
    <row r="25" spans="1:259" ht="83" customHeight="1" x14ac:dyDescent="0.25">
      <c r="A25" s="16" t="s">
        <v>496</v>
      </c>
      <c r="B25" s="57" t="s">
        <v>497</v>
      </c>
      <c r="C25" s="53"/>
      <c r="D25" s="53"/>
      <c r="E25" s="52" t="s">
        <v>786</v>
      </c>
      <c r="F25" s="53"/>
      <c r="G25" s="66"/>
      <c r="H25" s="53"/>
    </row>
    <row r="26" spans="1:259" ht="36" customHeight="1" x14ac:dyDescent="0.25">
      <c r="A26" s="79" t="str">
        <f>IF($C$6="No","Third Parties - Optional based on QUALIFIER response.","Third Parties")</f>
        <v>Third Parties</v>
      </c>
      <c r="B26" s="79"/>
      <c r="C26" s="51" t="str">
        <f>$C$3</f>
        <v>CIS Critical Security Controls v6.1</v>
      </c>
      <c r="D26" s="51" t="str">
        <f>$D$3</f>
        <v>HIPAA</v>
      </c>
      <c r="E26" s="51" t="str">
        <f>$E$3</f>
        <v>ISO 27002:2013</v>
      </c>
      <c r="F26" s="51" t="str">
        <f>$F$3</f>
        <v>NIST Cybersecurity Framework</v>
      </c>
      <c r="G26" s="36" t="str">
        <f>$G$3</f>
        <v>NIST SP 800-171r1</v>
      </c>
      <c r="H26" s="51" t="str">
        <f>$H$3</f>
        <v>NIST SP 800-53r4</v>
      </c>
    </row>
    <row r="27" spans="1:259" ht="96" customHeight="1" x14ac:dyDescent="0.25">
      <c r="A27" s="16" t="s">
        <v>234</v>
      </c>
      <c r="B27" s="57" t="s">
        <v>175</v>
      </c>
      <c r="C27" s="52" t="s">
        <v>735</v>
      </c>
      <c r="D27" s="53"/>
      <c r="E27" s="52" t="s">
        <v>790</v>
      </c>
      <c r="F27" s="52" t="s">
        <v>940</v>
      </c>
      <c r="G27" s="65" t="s">
        <v>869</v>
      </c>
      <c r="H27" s="52" t="s">
        <v>997</v>
      </c>
    </row>
    <row r="28" spans="1:259" ht="80" customHeight="1" x14ac:dyDescent="0.25">
      <c r="A28" s="16" t="s">
        <v>235</v>
      </c>
      <c r="B28" s="57" t="s">
        <v>643</v>
      </c>
      <c r="C28" s="52" t="s">
        <v>735</v>
      </c>
      <c r="D28" s="53"/>
      <c r="E28" s="52" t="s">
        <v>790</v>
      </c>
      <c r="F28" s="52" t="s">
        <v>940</v>
      </c>
      <c r="G28" s="65" t="s">
        <v>869</v>
      </c>
      <c r="H28" s="53"/>
    </row>
    <row r="29" spans="1:259" ht="80" customHeight="1" x14ac:dyDescent="0.25">
      <c r="A29" s="16" t="s">
        <v>236</v>
      </c>
      <c r="B29" s="57" t="s">
        <v>24</v>
      </c>
      <c r="C29" s="52" t="s">
        <v>735</v>
      </c>
      <c r="D29" s="53"/>
      <c r="E29" s="52" t="s">
        <v>790</v>
      </c>
      <c r="F29" s="52" t="s">
        <v>866</v>
      </c>
      <c r="G29" s="66"/>
      <c r="H29" s="52" t="s">
        <v>998</v>
      </c>
    </row>
    <row r="30" spans="1:259" ht="80" customHeight="1" x14ac:dyDescent="0.25">
      <c r="A30" s="16" t="s">
        <v>495</v>
      </c>
      <c r="B30" s="57" t="s">
        <v>514</v>
      </c>
      <c r="C30" s="53"/>
      <c r="D30" s="53"/>
      <c r="E30" s="52" t="s">
        <v>790</v>
      </c>
      <c r="F30" s="52" t="s">
        <v>867</v>
      </c>
      <c r="G30" s="66"/>
      <c r="H30" s="52" t="s">
        <v>999</v>
      </c>
    </row>
    <row r="31" spans="1:259" ht="36" customHeight="1" x14ac:dyDescent="0.25">
      <c r="A31" s="79" t="str">
        <f>IF($C$10="","Consulting",IF($C$10="Yes","Consulting - All questions after this section are OPTIONAL.","Consulting - Optional based on QUALIFIER response."))</f>
        <v>Consulting - Optional based on QUALIFIER response.</v>
      </c>
      <c r="B31" s="79"/>
      <c r="C31" s="51" t="str">
        <f>$C$3</f>
        <v>CIS Critical Security Controls v6.1</v>
      </c>
      <c r="D31" s="51" t="str">
        <f>$D$3</f>
        <v>HIPAA</v>
      </c>
      <c r="E31" s="51" t="str">
        <f>$E$3</f>
        <v>ISO 27002:2013</v>
      </c>
      <c r="F31" s="51" t="str">
        <f>$F$3</f>
        <v>NIST Cybersecurity Framework</v>
      </c>
      <c r="G31" s="36" t="str">
        <f>$G$3</f>
        <v>NIST SP 800-171r1</v>
      </c>
      <c r="H31" s="51" t="str">
        <f>$H$3</f>
        <v>NIST SP 800-53r4</v>
      </c>
    </row>
    <row r="32" spans="1:259" ht="36" customHeight="1" x14ac:dyDescent="0.25">
      <c r="A32" s="16" t="s">
        <v>237</v>
      </c>
      <c r="B32" s="57" t="s">
        <v>25</v>
      </c>
      <c r="C32" s="53"/>
      <c r="D32" s="53"/>
      <c r="E32" s="52" t="s">
        <v>786</v>
      </c>
      <c r="F32" s="52" t="s">
        <v>867</v>
      </c>
      <c r="G32" s="66"/>
      <c r="H32" s="53"/>
    </row>
    <row r="33" spans="1:259" ht="63" customHeight="1" x14ac:dyDescent="0.25">
      <c r="A33" s="16" t="s">
        <v>238</v>
      </c>
      <c r="B33" s="57" t="s">
        <v>681</v>
      </c>
      <c r="C33" s="52" t="s">
        <v>738</v>
      </c>
      <c r="D33" s="53"/>
      <c r="E33" s="52" t="s">
        <v>791</v>
      </c>
      <c r="F33" s="52" t="s">
        <v>867</v>
      </c>
      <c r="G33" s="65" t="s">
        <v>870</v>
      </c>
      <c r="H33" s="52" t="s">
        <v>1000</v>
      </c>
    </row>
    <row r="34" spans="1:259" ht="63" customHeight="1" x14ac:dyDescent="0.25">
      <c r="A34" s="16" t="s">
        <v>239</v>
      </c>
      <c r="B34" s="57" t="s">
        <v>682</v>
      </c>
      <c r="C34" s="52" t="s">
        <v>738</v>
      </c>
      <c r="D34" s="53"/>
      <c r="E34" s="52" t="s">
        <v>792</v>
      </c>
      <c r="F34" s="52" t="s">
        <v>867</v>
      </c>
      <c r="G34" s="65" t="s">
        <v>871</v>
      </c>
      <c r="H34" s="53"/>
    </row>
    <row r="35" spans="1:259" ht="48" customHeight="1" x14ac:dyDescent="0.25">
      <c r="A35" s="16" t="s">
        <v>240</v>
      </c>
      <c r="B35" s="57" t="s">
        <v>683</v>
      </c>
      <c r="C35" s="52" t="s">
        <v>738</v>
      </c>
      <c r="D35" s="53"/>
      <c r="E35" s="53"/>
      <c r="F35" s="52" t="s">
        <v>867</v>
      </c>
      <c r="G35" s="66"/>
      <c r="H35" s="53"/>
    </row>
    <row r="36" spans="1:259" ht="48" customHeight="1" x14ac:dyDescent="0.25">
      <c r="A36" s="16" t="s">
        <v>241</v>
      </c>
      <c r="B36" s="57" t="s">
        <v>559</v>
      </c>
      <c r="C36" s="52" t="s">
        <v>735</v>
      </c>
      <c r="D36" s="53"/>
      <c r="E36" s="52" t="s">
        <v>784</v>
      </c>
      <c r="F36" s="52" t="s">
        <v>867</v>
      </c>
      <c r="G36" s="66"/>
      <c r="H36" s="53"/>
    </row>
    <row r="37" spans="1:259" ht="48" customHeight="1" x14ac:dyDescent="0.25">
      <c r="A37" s="16" t="s">
        <v>242</v>
      </c>
      <c r="B37" s="57" t="s">
        <v>567</v>
      </c>
      <c r="C37" s="52" t="s">
        <v>735</v>
      </c>
      <c r="D37" s="53"/>
      <c r="E37" s="52" t="s">
        <v>805</v>
      </c>
      <c r="F37" s="52" t="s">
        <v>867</v>
      </c>
      <c r="G37" s="65" t="s">
        <v>869</v>
      </c>
      <c r="H37" s="52" t="s">
        <v>1001</v>
      </c>
    </row>
    <row r="38" spans="1:259" ht="36" customHeight="1" x14ac:dyDescent="0.25">
      <c r="A38" s="16" t="s">
        <v>243</v>
      </c>
      <c r="B38" s="57" t="s">
        <v>568</v>
      </c>
      <c r="C38" s="52" t="s">
        <v>735</v>
      </c>
      <c r="D38" s="53"/>
      <c r="E38" s="52" t="s">
        <v>805</v>
      </c>
      <c r="F38" s="52" t="s">
        <v>867</v>
      </c>
      <c r="G38" s="65" t="s">
        <v>869</v>
      </c>
      <c r="H38" s="52" t="s">
        <v>1001</v>
      </c>
    </row>
    <row r="39" spans="1:259" s="1" customFormat="1" ht="48" customHeight="1" x14ac:dyDescent="0.3">
      <c r="A39" s="16" t="s">
        <v>244</v>
      </c>
      <c r="B39" s="57" t="s">
        <v>569</v>
      </c>
      <c r="C39" s="52" t="s">
        <v>735</v>
      </c>
      <c r="D39" s="53"/>
      <c r="E39" s="52" t="s">
        <v>806</v>
      </c>
      <c r="F39" s="52" t="s">
        <v>867</v>
      </c>
      <c r="G39" s="65" t="s">
        <v>872</v>
      </c>
      <c r="H39" s="52" t="s">
        <v>1001</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row>
    <row r="40" spans="1:259" ht="36" customHeight="1" x14ac:dyDescent="0.25">
      <c r="A40" s="16" t="s">
        <v>245</v>
      </c>
      <c r="B40" s="57" t="s">
        <v>684</v>
      </c>
      <c r="C40" s="52" t="s">
        <v>738</v>
      </c>
      <c r="D40" s="53"/>
      <c r="E40" s="52" t="s">
        <v>805</v>
      </c>
      <c r="F40" s="52" t="s">
        <v>867</v>
      </c>
      <c r="G40" s="66"/>
      <c r="H40" s="53"/>
    </row>
    <row r="41" spans="1:259" ht="36" customHeight="1" x14ac:dyDescent="0.25">
      <c r="A41" s="16" t="s">
        <v>246</v>
      </c>
      <c r="B41" s="57" t="s">
        <v>26</v>
      </c>
      <c r="C41" s="52" t="s">
        <v>735</v>
      </c>
      <c r="D41" s="53"/>
      <c r="E41" s="53"/>
      <c r="F41" s="52" t="s">
        <v>867</v>
      </c>
      <c r="G41" s="66"/>
      <c r="H41" s="53"/>
    </row>
    <row r="42" spans="1:259" s="1" customFormat="1" ht="36" customHeight="1" x14ac:dyDescent="0.3">
      <c r="A42" s="16" t="s">
        <v>247</v>
      </c>
      <c r="B42" s="57" t="s">
        <v>27</v>
      </c>
      <c r="C42" s="53"/>
      <c r="D42" s="53"/>
      <c r="E42" s="52" t="s">
        <v>805</v>
      </c>
      <c r="F42" s="52" t="s">
        <v>867</v>
      </c>
      <c r="G42" s="66"/>
      <c r="H42" s="53"/>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row>
    <row r="43" spans="1:259" ht="36" customHeight="1" x14ac:dyDescent="0.25">
      <c r="A43" s="79" t="str">
        <f>IF($C$10="","Application/Service Security",IF($C$10="Yes","App/Service Security - Optional based on QUALIFIER response.","Application/Service Security"))</f>
        <v>Application/Service Security</v>
      </c>
      <c r="B43" s="79"/>
      <c r="C43" s="51" t="str">
        <f>$C$3</f>
        <v>CIS Critical Security Controls v6.1</v>
      </c>
      <c r="D43" s="51" t="str">
        <f>$D$3</f>
        <v>HIPAA</v>
      </c>
      <c r="E43" s="51" t="str">
        <f>$E$3</f>
        <v>ISO 27002:2013</v>
      </c>
      <c r="F43" s="51" t="str">
        <f>$F$3</f>
        <v>NIST Cybersecurity Framework</v>
      </c>
      <c r="G43" s="36" t="str">
        <f>$G$3</f>
        <v>NIST SP 800-171r1</v>
      </c>
      <c r="H43" s="51" t="str">
        <f>$H$3</f>
        <v>NIST SP 800-53r4</v>
      </c>
    </row>
    <row r="44" spans="1:259" ht="49" customHeight="1" x14ac:dyDescent="0.25">
      <c r="A44" s="16" t="s">
        <v>248</v>
      </c>
      <c r="B44" s="57" t="s">
        <v>28</v>
      </c>
      <c r="C44" s="52" t="s">
        <v>739</v>
      </c>
      <c r="D44" s="53"/>
      <c r="E44" s="52"/>
      <c r="F44" s="52" t="s">
        <v>941</v>
      </c>
      <c r="G44" s="66"/>
      <c r="H44" s="53"/>
    </row>
    <row r="45" spans="1:259" ht="48" customHeight="1" x14ac:dyDescent="0.25">
      <c r="A45" s="16" t="s">
        <v>249</v>
      </c>
      <c r="B45" s="57" t="s">
        <v>644</v>
      </c>
      <c r="C45" s="52" t="s">
        <v>746</v>
      </c>
      <c r="D45" s="53"/>
      <c r="E45" s="52" t="s">
        <v>793</v>
      </c>
      <c r="F45" s="52" t="s">
        <v>941</v>
      </c>
      <c r="G45" s="66"/>
      <c r="H45" s="53"/>
    </row>
    <row r="46" spans="1:259" ht="48" customHeight="1" x14ac:dyDescent="0.25">
      <c r="A46" s="16" t="s">
        <v>685</v>
      </c>
      <c r="B46" s="57" t="s">
        <v>29</v>
      </c>
      <c r="C46" s="52" t="s">
        <v>738</v>
      </c>
      <c r="D46" s="53"/>
      <c r="E46" s="52" t="s">
        <v>794</v>
      </c>
      <c r="F46" s="52" t="s">
        <v>942</v>
      </c>
      <c r="G46" s="65" t="s">
        <v>873</v>
      </c>
      <c r="H46" s="52" t="s">
        <v>1002</v>
      </c>
    </row>
    <row r="47" spans="1:259" ht="80" customHeight="1" x14ac:dyDescent="0.25">
      <c r="A47" s="16" t="s">
        <v>250</v>
      </c>
      <c r="B47" s="57" t="s">
        <v>516</v>
      </c>
      <c r="C47" s="52" t="s">
        <v>740</v>
      </c>
      <c r="D47" s="53"/>
      <c r="E47" s="52" t="s">
        <v>795</v>
      </c>
      <c r="F47" s="52" t="s">
        <v>943</v>
      </c>
      <c r="G47" s="65" t="s">
        <v>874</v>
      </c>
      <c r="H47" s="52" t="s">
        <v>1003</v>
      </c>
    </row>
    <row r="48" spans="1:259" ht="63" customHeight="1" x14ac:dyDescent="0.25">
      <c r="A48" s="16" t="s">
        <v>251</v>
      </c>
      <c r="B48" s="58" t="s">
        <v>30</v>
      </c>
      <c r="C48" s="52" t="s">
        <v>738</v>
      </c>
      <c r="D48" s="53"/>
      <c r="E48" s="52" t="s">
        <v>795</v>
      </c>
      <c r="F48" s="52" t="s">
        <v>942</v>
      </c>
      <c r="G48" s="65" t="s">
        <v>871</v>
      </c>
      <c r="H48" s="53"/>
    </row>
    <row r="49" spans="1:259" ht="36" customHeight="1" x14ac:dyDescent="0.25">
      <c r="A49" s="16" t="s">
        <v>252</v>
      </c>
      <c r="B49" s="58" t="s">
        <v>687</v>
      </c>
      <c r="C49" s="52" t="s">
        <v>738</v>
      </c>
      <c r="D49" s="53"/>
      <c r="E49" s="52">
        <v>6.2</v>
      </c>
      <c r="F49" s="52" t="s">
        <v>944</v>
      </c>
      <c r="G49" s="65" t="s">
        <v>871</v>
      </c>
      <c r="H49" s="52" t="s">
        <v>1004</v>
      </c>
    </row>
    <row r="50" spans="1:259" ht="80" customHeight="1" x14ac:dyDescent="0.25">
      <c r="A50" s="16" t="s">
        <v>253</v>
      </c>
      <c r="B50" s="58" t="s">
        <v>645</v>
      </c>
      <c r="C50" s="52" t="s">
        <v>741</v>
      </c>
      <c r="D50" s="53"/>
      <c r="E50" s="52">
        <v>6.2</v>
      </c>
      <c r="F50" s="52" t="s">
        <v>945</v>
      </c>
      <c r="G50" s="65" t="s">
        <v>875</v>
      </c>
      <c r="H50" s="52" t="s">
        <v>1005</v>
      </c>
    </row>
    <row r="51" spans="1:259" s="1" customFormat="1" ht="80" customHeight="1" x14ac:dyDescent="0.3">
      <c r="A51" s="16" t="s">
        <v>254</v>
      </c>
      <c r="B51" s="57" t="s">
        <v>721</v>
      </c>
      <c r="C51" s="52" t="s">
        <v>742</v>
      </c>
      <c r="D51" s="53"/>
      <c r="E51" s="52" t="s">
        <v>796</v>
      </c>
      <c r="F51" s="52" t="s">
        <v>945</v>
      </c>
      <c r="G51" s="66"/>
      <c r="H51" s="52" t="s">
        <v>1004</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row>
    <row r="52" spans="1:259" ht="72" customHeight="1" x14ac:dyDescent="0.25">
      <c r="A52" s="16" t="s">
        <v>255</v>
      </c>
      <c r="B52" s="57" t="s">
        <v>646</v>
      </c>
      <c r="C52" s="53"/>
      <c r="D52" s="53"/>
      <c r="E52" s="52">
        <v>16</v>
      </c>
      <c r="F52" s="53"/>
      <c r="G52" s="66"/>
      <c r="H52" s="53"/>
    </row>
    <row r="53" spans="1:259" ht="64" customHeight="1" x14ac:dyDescent="0.25">
      <c r="A53" s="16" t="s">
        <v>256</v>
      </c>
      <c r="B53" s="57" t="s">
        <v>517</v>
      </c>
      <c r="C53" s="52" t="s">
        <v>742</v>
      </c>
      <c r="D53" s="53"/>
      <c r="E53" s="52" t="s">
        <v>796</v>
      </c>
      <c r="F53" s="52" t="s">
        <v>946</v>
      </c>
      <c r="G53" s="66"/>
      <c r="H53" s="53"/>
    </row>
    <row r="54" spans="1:259" ht="64" customHeight="1" x14ac:dyDescent="0.25">
      <c r="A54" s="16" t="s">
        <v>257</v>
      </c>
      <c r="B54" s="57" t="s">
        <v>518</v>
      </c>
      <c r="C54" s="52" t="s">
        <v>742</v>
      </c>
      <c r="D54" s="53"/>
      <c r="E54" s="52" t="s">
        <v>797</v>
      </c>
      <c r="F54" s="52" t="s">
        <v>947</v>
      </c>
      <c r="G54" s="66"/>
      <c r="H54" s="52" t="s">
        <v>1006</v>
      </c>
    </row>
    <row r="55" spans="1:259" ht="48" customHeight="1" x14ac:dyDescent="0.25">
      <c r="A55" s="16" t="s">
        <v>258</v>
      </c>
      <c r="B55" s="57" t="s">
        <v>617</v>
      </c>
      <c r="C55" s="52" t="s">
        <v>735</v>
      </c>
      <c r="D55" s="53"/>
      <c r="E55" s="52" t="s">
        <v>798</v>
      </c>
      <c r="F55" s="53"/>
      <c r="G55" s="66"/>
      <c r="H55" s="53"/>
    </row>
    <row r="56" spans="1:259" ht="65" customHeight="1" x14ac:dyDescent="0.25">
      <c r="A56" s="16" t="s">
        <v>259</v>
      </c>
      <c r="B56" s="57" t="s">
        <v>519</v>
      </c>
      <c r="C56" s="52" t="s">
        <v>743</v>
      </c>
      <c r="D56" s="53"/>
      <c r="E56" s="52" t="s">
        <v>797</v>
      </c>
      <c r="F56" s="53"/>
      <c r="G56" s="66"/>
      <c r="H56" s="53"/>
    </row>
    <row r="57" spans="1:259" ht="65" customHeight="1" x14ac:dyDescent="0.25">
      <c r="A57" s="16" t="s">
        <v>260</v>
      </c>
      <c r="B57" s="57" t="s">
        <v>520</v>
      </c>
      <c r="C57" s="52" t="s">
        <v>743</v>
      </c>
      <c r="D57" s="53"/>
      <c r="E57" s="52" t="s">
        <v>796</v>
      </c>
      <c r="F57" s="53"/>
      <c r="G57" s="66"/>
      <c r="H57" s="53"/>
    </row>
    <row r="58" spans="1:259" ht="63" customHeight="1" x14ac:dyDescent="0.25">
      <c r="A58" s="16" t="s">
        <v>686</v>
      </c>
      <c r="B58" s="57" t="s">
        <v>146</v>
      </c>
      <c r="C58" s="52" t="s">
        <v>742</v>
      </c>
      <c r="D58" s="53"/>
      <c r="E58" s="53"/>
      <c r="F58" s="53"/>
      <c r="G58" s="66"/>
      <c r="H58" s="53"/>
    </row>
    <row r="59" spans="1:259" ht="65" customHeight="1" x14ac:dyDescent="0.25">
      <c r="A59" s="16" t="s">
        <v>261</v>
      </c>
      <c r="B59" s="57" t="s">
        <v>521</v>
      </c>
      <c r="C59" s="52" t="s">
        <v>738</v>
      </c>
      <c r="D59" s="53"/>
      <c r="E59" s="52" t="s">
        <v>800</v>
      </c>
      <c r="F59" s="52" t="s">
        <v>943</v>
      </c>
      <c r="G59" s="65" t="s">
        <v>876</v>
      </c>
      <c r="H59" s="52" t="s">
        <v>1007</v>
      </c>
    </row>
    <row r="60" spans="1:259" ht="65" customHeight="1" x14ac:dyDescent="0.25">
      <c r="A60" s="16" t="s">
        <v>262</v>
      </c>
      <c r="B60" s="57" t="s">
        <v>618</v>
      </c>
      <c r="C60" s="52" t="s">
        <v>744</v>
      </c>
      <c r="D60" s="53"/>
      <c r="E60" s="52">
        <v>9.1999999999999993</v>
      </c>
      <c r="F60" s="52" t="s">
        <v>943</v>
      </c>
      <c r="G60" s="65" t="s">
        <v>877</v>
      </c>
      <c r="H60" s="52" t="s">
        <v>1008</v>
      </c>
    </row>
    <row r="61" spans="1:259" ht="48" customHeight="1" x14ac:dyDescent="0.25">
      <c r="A61" s="16" t="s">
        <v>263</v>
      </c>
      <c r="B61" s="57" t="s">
        <v>43</v>
      </c>
      <c r="C61" s="52" t="s">
        <v>745</v>
      </c>
      <c r="D61" s="53"/>
      <c r="E61" s="52" t="s">
        <v>799</v>
      </c>
      <c r="F61" s="52" t="s">
        <v>948</v>
      </c>
      <c r="G61" s="66"/>
      <c r="H61" s="53"/>
    </row>
    <row r="62" spans="1:259" ht="48" customHeight="1" x14ac:dyDescent="0.25">
      <c r="A62" s="16" t="s">
        <v>264</v>
      </c>
      <c r="B62" s="57" t="s">
        <v>688</v>
      </c>
      <c r="C62" s="52" t="s">
        <v>741</v>
      </c>
      <c r="D62" s="53"/>
      <c r="E62" s="52" t="s">
        <v>799</v>
      </c>
      <c r="F62" s="53"/>
      <c r="G62" s="66"/>
      <c r="H62" s="52" t="s">
        <v>990</v>
      </c>
    </row>
    <row r="63" spans="1:259" ht="65" customHeight="1" x14ac:dyDescent="0.25">
      <c r="A63" s="16" t="s">
        <v>265</v>
      </c>
      <c r="B63" s="57" t="s">
        <v>616</v>
      </c>
      <c r="C63" s="53"/>
      <c r="D63" s="53"/>
      <c r="E63" s="53"/>
      <c r="F63" s="53"/>
      <c r="G63" s="66"/>
      <c r="H63" s="53"/>
    </row>
    <row r="64" spans="1:259" ht="36" customHeight="1" x14ac:dyDescent="0.25">
      <c r="A64" s="79" t="str">
        <f>IF($C$10="","Authentication, Authorization, and Accounting",IF($C$10="Yes","AAA - Optional based on QUALIFIER response.","Authentication, Authorization, and Accounting"))</f>
        <v>Authentication, Authorization, and Accounting</v>
      </c>
      <c r="B64" s="79"/>
      <c r="C64" s="51" t="str">
        <f>$C$3</f>
        <v>CIS Critical Security Controls v6.1</v>
      </c>
      <c r="D64" s="51" t="str">
        <f>$D$3</f>
        <v>HIPAA</v>
      </c>
      <c r="E64" s="51" t="str">
        <f>$E$3</f>
        <v>ISO 27002:2013</v>
      </c>
      <c r="F64" s="51" t="str">
        <f>$F$3</f>
        <v>NIST Cybersecurity Framework</v>
      </c>
      <c r="G64" s="36" t="str">
        <f>$G$3</f>
        <v>NIST SP 800-171r1</v>
      </c>
      <c r="H64" s="51" t="str">
        <f>$H$3</f>
        <v>NIST SP 800-53r4</v>
      </c>
    </row>
    <row r="65" spans="1:8" ht="36" customHeight="1" x14ac:dyDescent="0.25">
      <c r="A65" s="16" t="s">
        <v>267</v>
      </c>
      <c r="B65" s="57" t="s">
        <v>46</v>
      </c>
      <c r="C65" s="52" t="s">
        <v>745</v>
      </c>
      <c r="D65" s="59"/>
      <c r="E65" s="52" t="s">
        <v>803</v>
      </c>
      <c r="F65" s="52" t="s">
        <v>949</v>
      </c>
      <c r="G65" s="65" t="s">
        <v>878</v>
      </c>
      <c r="H65" s="52" t="s">
        <v>1009</v>
      </c>
    </row>
    <row r="66" spans="1:8" ht="48" customHeight="1" x14ac:dyDescent="0.25">
      <c r="A66" s="16" t="s">
        <v>268</v>
      </c>
      <c r="B66" s="57" t="s">
        <v>647</v>
      </c>
      <c r="C66" s="52" t="s">
        <v>745</v>
      </c>
      <c r="D66" s="59"/>
      <c r="E66" s="52" t="s">
        <v>803</v>
      </c>
      <c r="F66" s="52" t="s">
        <v>949</v>
      </c>
      <c r="G66" s="65" t="s">
        <v>879</v>
      </c>
      <c r="H66" s="52" t="s">
        <v>1010</v>
      </c>
    </row>
    <row r="67" spans="1:8" ht="48" customHeight="1" x14ac:dyDescent="0.25">
      <c r="A67" s="16" t="s">
        <v>269</v>
      </c>
      <c r="B67" s="57" t="s">
        <v>47</v>
      </c>
      <c r="C67" s="52" t="s">
        <v>745</v>
      </c>
      <c r="D67" s="59"/>
      <c r="E67" s="52" t="s">
        <v>803</v>
      </c>
      <c r="F67" s="52" t="s">
        <v>949</v>
      </c>
      <c r="G67" s="66"/>
      <c r="H67" s="53"/>
    </row>
    <row r="68" spans="1:8" ht="65" customHeight="1" x14ac:dyDescent="0.25">
      <c r="A68" s="16" t="s">
        <v>270</v>
      </c>
      <c r="B68" s="57" t="s">
        <v>48</v>
      </c>
      <c r="C68" s="52" t="s">
        <v>745</v>
      </c>
      <c r="D68" s="59"/>
      <c r="E68" s="52" t="s">
        <v>803</v>
      </c>
      <c r="F68" s="52" t="s">
        <v>949</v>
      </c>
      <c r="G68" s="65" t="s">
        <v>880</v>
      </c>
      <c r="H68" s="52" t="s">
        <v>1009</v>
      </c>
    </row>
    <row r="69" spans="1:8" ht="65" customHeight="1" x14ac:dyDescent="0.25">
      <c r="A69" s="16" t="s">
        <v>271</v>
      </c>
      <c r="B69" s="57" t="s">
        <v>570</v>
      </c>
      <c r="C69" s="52" t="s">
        <v>745</v>
      </c>
      <c r="D69" s="59"/>
      <c r="E69" s="52" t="s">
        <v>804</v>
      </c>
      <c r="F69" s="52" t="s">
        <v>949</v>
      </c>
      <c r="G69" s="65" t="s">
        <v>881</v>
      </c>
      <c r="H69" s="52" t="s">
        <v>1011</v>
      </c>
    </row>
    <row r="70" spans="1:8" ht="48" customHeight="1" x14ac:dyDescent="0.25">
      <c r="A70" s="16" t="s">
        <v>272</v>
      </c>
      <c r="B70" s="57" t="s">
        <v>49</v>
      </c>
      <c r="C70" s="52" t="s">
        <v>745</v>
      </c>
      <c r="D70" s="59"/>
      <c r="E70" s="52" t="s">
        <v>805</v>
      </c>
      <c r="F70" s="53"/>
      <c r="G70" s="66"/>
      <c r="H70" s="53"/>
    </row>
    <row r="71" spans="1:8" ht="36" customHeight="1" x14ac:dyDescent="0.25">
      <c r="A71" s="16" t="s">
        <v>273</v>
      </c>
      <c r="B71" s="57" t="s">
        <v>50</v>
      </c>
      <c r="C71" s="52" t="s">
        <v>745</v>
      </c>
      <c r="D71" s="59"/>
      <c r="E71" s="52" t="s">
        <v>805</v>
      </c>
      <c r="F71" s="52" t="s">
        <v>949</v>
      </c>
      <c r="G71" s="66"/>
      <c r="H71" s="53"/>
    </row>
    <row r="72" spans="1:8" ht="36" customHeight="1" x14ac:dyDescent="0.25">
      <c r="A72" s="16" t="s">
        <v>274</v>
      </c>
      <c r="B72" s="57" t="s">
        <v>51</v>
      </c>
      <c r="C72" s="52" t="s">
        <v>745</v>
      </c>
      <c r="D72" s="59"/>
      <c r="E72" s="52" t="s">
        <v>805</v>
      </c>
      <c r="F72" s="52" t="s">
        <v>949</v>
      </c>
      <c r="G72" s="65" t="s">
        <v>882</v>
      </c>
      <c r="H72" s="52" t="s">
        <v>1010</v>
      </c>
    </row>
    <row r="73" spans="1:8" ht="64" customHeight="1" x14ac:dyDescent="0.25">
      <c r="A73" s="16" t="s">
        <v>275</v>
      </c>
      <c r="B73" s="57" t="s">
        <v>522</v>
      </c>
      <c r="C73" s="52" t="s">
        <v>745</v>
      </c>
      <c r="D73" s="59"/>
      <c r="E73" s="52" t="s">
        <v>805</v>
      </c>
      <c r="F73" s="52" t="s">
        <v>949</v>
      </c>
      <c r="G73" s="66"/>
      <c r="H73" s="53"/>
    </row>
    <row r="74" spans="1:8" ht="47" customHeight="1" x14ac:dyDescent="0.25">
      <c r="A74" s="16" t="s">
        <v>276</v>
      </c>
      <c r="B74" s="57" t="s">
        <v>178</v>
      </c>
      <c r="C74" s="52" t="s">
        <v>745</v>
      </c>
      <c r="D74" s="59"/>
      <c r="E74" s="52" t="s">
        <v>805</v>
      </c>
      <c r="F74" s="52" t="s">
        <v>942</v>
      </c>
      <c r="G74" s="65" t="s">
        <v>883</v>
      </c>
      <c r="H74" s="52" t="s">
        <v>1012</v>
      </c>
    </row>
    <row r="75" spans="1:8" ht="65" customHeight="1" x14ac:dyDescent="0.25">
      <c r="A75" s="16" t="s">
        <v>277</v>
      </c>
      <c r="B75" s="57" t="s">
        <v>177</v>
      </c>
      <c r="C75" s="52" t="s">
        <v>745</v>
      </c>
      <c r="D75" s="59"/>
      <c r="E75" s="52" t="s">
        <v>805</v>
      </c>
      <c r="F75" s="52" t="s">
        <v>942</v>
      </c>
      <c r="G75" s="65" t="s">
        <v>888</v>
      </c>
      <c r="H75" s="52" t="s">
        <v>1013</v>
      </c>
    </row>
    <row r="76" spans="1:8" ht="53" customHeight="1" x14ac:dyDescent="0.25">
      <c r="A76" s="16" t="s">
        <v>278</v>
      </c>
      <c r="B76" s="57" t="s">
        <v>648</v>
      </c>
      <c r="C76" s="52" t="s">
        <v>745</v>
      </c>
      <c r="D76" s="59"/>
      <c r="E76" s="52" t="s">
        <v>801</v>
      </c>
      <c r="F76" s="52" t="s">
        <v>950</v>
      </c>
      <c r="G76" s="66"/>
      <c r="H76" s="53"/>
    </row>
    <row r="77" spans="1:8" ht="47" customHeight="1" x14ac:dyDescent="0.25">
      <c r="A77" s="16" t="s">
        <v>279</v>
      </c>
      <c r="B77" s="57" t="s">
        <v>649</v>
      </c>
      <c r="C77" s="52" t="s">
        <v>745</v>
      </c>
      <c r="D77" s="59"/>
      <c r="E77" s="52" t="s">
        <v>805</v>
      </c>
      <c r="F77" s="52" t="s">
        <v>950</v>
      </c>
      <c r="G77" s="66"/>
      <c r="H77" s="53"/>
    </row>
    <row r="78" spans="1:8" ht="54" customHeight="1" x14ac:dyDescent="0.25">
      <c r="A78" s="16" t="s">
        <v>280</v>
      </c>
      <c r="B78" s="57" t="s">
        <v>176</v>
      </c>
      <c r="C78" s="52" t="s">
        <v>745</v>
      </c>
      <c r="D78" s="59"/>
      <c r="E78" s="52" t="s">
        <v>801</v>
      </c>
      <c r="F78" s="52" t="s">
        <v>950</v>
      </c>
      <c r="G78" s="66"/>
      <c r="H78" s="53"/>
    </row>
    <row r="79" spans="1:8" ht="54" customHeight="1" x14ac:dyDescent="0.25">
      <c r="A79" s="16" t="s">
        <v>281</v>
      </c>
      <c r="B79" s="57" t="s">
        <v>122</v>
      </c>
      <c r="C79" s="52" t="s">
        <v>745</v>
      </c>
      <c r="D79" s="59"/>
      <c r="E79" s="53"/>
      <c r="F79" s="52" t="s">
        <v>950</v>
      </c>
      <c r="G79" s="66"/>
      <c r="H79" s="53"/>
    </row>
    <row r="80" spans="1:8" ht="47" customHeight="1" x14ac:dyDescent="0.25">
      <c r="A80" s="16" t="s">
        <v>282</v>
      </c>
      <c r="B80" s="57" t="s">
        <v>650</v>
      </c>
      <c r="C80" s="52" t="s">
        <v>745</v>
      </c>
      <c r="D80" s="59"/>
      <c r="E80" s="53"/>
      <c r="F80" s="52" t="s">
        <v>950</v>
      </c>
      <c r="G80" s="65" t="s">
        <v>884</v>
      </c>
      <c r="H80" s="53"/>
    </row>
    <row r="81" spans="1:259" ht="48" customHeight="1" x14ac:dyDescent="0.25">
      <c r="A81" s="16" t="s">
        <v>283</v>
      </c>
      <c r="B81" s="57" t="s">
        <v>689</v>
      </c>
      <c r="C81" s="52" t="s">
        <v>747</v>
      </c>
      <c r="D81" s="59"/>
      <c r="E81" s="52" t="s">
        <v>802</v>
      </c>
      <c r="F81" s="52" t="s">
        <v>951</v>
      </c>
      <c r="G81" s="65" t="s">
        <v>885</v>
      </c>
      <c r="H81" s="52" t="s">
        <v>1014</v>
      </c>
    </row>
    <row r="82" spans="1:259" ht="84" customHeight="1" x14ac:dyDescent="0.25">
      <c r="A82" s="16" t="s">
        <v>284</v>
      </c>
      <c r="B82" s="57" t="s">
        <v>619</v>
      </c>
      <c r="C82" s="52" t="s">
        <v>747</v>
      </c>
      <c r="D82" s="59"/>
      <c r="E82" s="52" t="s">
        <v>802</v>
      </c>
      <c r="F82" s="52" t="s">
        <v>951</v>
      </c>
      <c r="G82" s="65" t="s">
        <v>886</v>
      </c>
      <c r="H82" s="52" t="s">
        <v>1015</v>
      </c>
    </row>
    <row r="83" spans="1:259" ht="64" customHeight="1" x14ac:dyDescent="0.25">
      <c r="A83" s="16" t="s">
        <v>285</v>
      </c>
      <c r="B83" s="57" t="s">
        <v>523</v>
      </c>
      <c r="C83" s="52" t="s">
        <v>747</v>
      </c>
      <c r="D83" s="59"/>
      <c r="E83" s="52" t="s">
        <v>802</v>
      </c>
      <c r="F83" s="52" t="s">
        <v>951</v>
      </c>
      <c r="G83" s="65" t="s">
        <v>887</v>
      </c>
      <c r="H83" s="52" t="s">
        <v>1016</v>
      </c>
    </row>
    <row r="84" spans="1:259" s="49" customFormat="1" ht="36" customHeight="1" x14ac:dyDescent="0.25">
      <c r="A84" s="79" t="str">
        <f>IF(OR($C$7="No",$C$10="Yes"),"BCP - Optional based on QUALIFIER response.","Business Continuity Plan")</f>
        <v>Business Continuity Plan</v>
      </c>
      <c r="B84" s="79"/>
      <c r="C84" s="51" t="str">
        <f>$C$3</f>
        <v>CIS Critical Security Controls v6.1</v>
      </c>
      <c r="D84" s="51" t="str">
        <f>$D$3</f>
        <v>HIPAA</v>
      </c>
      <c r="E84" s="51" t="str">
        <f>$E$3</f>
        <v>ISO 27002:2013</v>
      </c>
      <c r="F84" s="51" t="str">
        <f>$F$3</f>
        <v>NIST Cybersecurity Framework</v>
      </c>
      <c r="G84" s="36" t="str">
        <f>$G$3</f>
        <v>NIST SP 800-171r1</v>
      </c>
      <c r="H84" s="51" t="str">
        <f>$H$3</f>
        <v>NIST SP 800-53r4</v>
      </c>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row>
    <row r="85" spans="1:259" ht="48" customHeight="1" x14ac:dyDescent="0.25">
      <c r="A85" s="16" t="s">
        <v>266</v>
      </c>
      <c r="B85" s="57" t="s">
        <v>691</v>
      </c>
      <c r="C85" s="52" t="s">
        <v>737</v>
      </c>
      <c r="D85" s="59"/>
      <c r="E85" s="52" t="s">
        <v>808</v>
      </c>
      <c r="F85" s="52" t="s">
        <v>868</v>
      </c>
      <c r="G85" s="65" t="s">
        <v>889</v>
      </c>
      <c r="H85" s="52" t="s">
        <v>1017</v>
      </c>
    </row>
    <row r="86" spans="1:259" ht="47" customHeight="1" x14ac:dyDescent="0.25">
      <c r="A86" s="16" t="s">
        <v>286</v>
      </c>
      <c r="B86" s="57" t="s">
        <v>159</v>
      </c>
      <c r="C86" s="52" t="s">
        <v>737</v>
      </c>
      <c r="D86" s="59"/>
      <c r="E86" s="52" t="s">
        <v>808</v>
      </c>
      <c r="F86" s="52" t="s">
        <v>868</v>
      </c>
      <c r="G86" s="65" t="s">
        <v>889</v>
      </c>
      <c r="H86" s="52" t="s">
        <v>1017</v>
      </c>
    </row>
    <row r="87" spans="1:259" ht="47" customHeight="1" x14ac:dyDescent="0.25">
      <c r="A87" s="16" t="s">
        <v>287</v>
      </c>
      <c r="B87" s="57" t="s">
        <v>690</v>
      </c>
      <c r="C87" s="52" t="s">
        <v>737</v>
      </c>
      <c r="D87" s="59"/>
      <c r="E87" s="53"/>
      <c r="F87" s="52" t="s">
        <v>868</v>
      </c>
      <c r="G87" s="65" t="s">
        <v>889</v>
      </c>
      <c r="H87" s="52" t="s">
        <v>1018</v>
      </c>
    </row>
    <row r="88" spans="1:259" ht="47" customHeight="1" x14ac:dyDescent="0.25">
      <c r="A88" s="16" t="s">
        <v>288</v>
      </c>
      <c r="B88" s="57" t="s">
        <v>162</v>
      </c>
      <c r="C88" s="52" t="s">
        <v>737</v>
      </c>
      <c r="D88" s="59"/>
      <c r="E88" s="52" t="s">
        <v>811</v>
      </c>
      <c r="F88" s="52" t="s">
        <v>868</v>
      </c>
      <c r="G88" s="65" t="s">
        <v>889</v>
      </c>
      <c r="H88" s="52" t="s">
        <v>1017</v>
      </c>
    </row>
    <row r="89" spans="1:259" ht="47" customHeight="1" x14ac:dyDescent="0.25">
      <c r="A89" s="16" t="s">
        <v>289</v>
      </c>
      <c r="B89" s="57" t="s">
        <v>163</v>
      </c>
      <c r="C89" s="52" t="s">
        <v>737</v>
      </c>
      <c r="D89" s="59"/>
      <c r="E89" s="52" t="s">
        <v>785</v>
      </c>
      <c r="F89" s="52" t="s">
        <v>868</v>
      </c>
      <c r="G89" s="65" t="s">
        <v>889</v>
      </c>
      <c r="H89" s="52" t="s">
        <v>1017</v>
      </c>
    </row>
    <row r="90" spans="1:259" ht="48" customHeight="1" x14ac:dyDescent="0.25">
      <c r="A90" s="16" t="s">
        <v>290</v>
      </c>
      <c r="B90" s="57" t="s">
        <v>692</v>
      </c>
      <c r="C90" s="52" t="s">
        <v>737</v>
      </c>
      <c r="D90" s="59"/>
      <c r="E90" s="52" t="s">
        <v>785</v>
      </c>
      <c r="F90" s="52" t="s">
        <v>868</v>
      </c>
      <c r="G90" s="65" t="s">
        <v>889</v>
      </c>
      <c r="H90" s="52" t="s">
        <v>1017</v>
      </c>
    </row>
    <row r="91" spans="1:259" ht="48" customHeight="1" x14ac:dyDescent="0.25">
      <c r="A91" s="16" t="s">
        <v>291</v>
      </c>
      <c r="B91" s="57" t="s">
        <v>693</v>
      </c>
      <c r="C91" s="52" t="s">
        <v>737</v>
      </c>
      <c r="D91" s="59"/>
      <c r="E91" s="52" t="s">
        <v>809</v>
      </c>
      <c r="F91" s="52" t="s">
        <v>868</v>
      </c>
      <c r="G91" s="65" t="s">
        <v>889</v>
      </c>
      <c r="H91" s="52" t="s">
        <v>1017</v>
      </c>
    </row>
    <row r="92" spans="1:259" ht="47" customHeight="1" x14ac:dyDescent="0.25">
      <c r="A92" s="16" t="s">
        <v>292</v>
      </c>
      <c r="B92" s="57" t="s">
        <v>164</v>
      </c>
      <c r="C92" s="52" t="s">
        <v>737</v>
      </c>
      <c r="D92" s="59"/>
      <c r="E92" s="52" t="s">
        <v>813</v>
      </c>
      <c r="F92" s="52" t="s">
        <v>868</v>
      </c>
      <c r="G92" s="65" t="s">
        <v>890</v>
      </c>
      <c r="H92" s="52" t="s">
        <v>1019</v>
      </c>
    </row>
    <row r="93" spans="1:259" ht="47" customHeight="1" x14ac:dyDescent="0.25">
      <c r="A93" s="16" t="s">
        <v>293</v>
      </c>
      <c r="B93" s="57" t="s">
        <v>165</v>
      </c>
      <c r="C93" s="52" t="s">
        <v>737</v>
      </c>
      <c r="D93" s="59"/>
      <c r="E93" s="52" t="s">
        <v>812</v>
      </c>
      <c r="F93" s="52" t="s">
        <v>868</v>
      </c>
      <c r="G93" s="66"/>
      <c r="H93" s="52" t="s">
        <v>1018</v>
      </c>
    </row>
    <row r="94" spans="1:259" ht="47" customHeight="1" x14ac:dyDescent="0.25">
      <c r="A94" s="16" t="s">
        <v>294</v>
      </c>
      <c r="B94" s="57" t="s">
        <v>166</v>
      </c>
      <c r="C94" s="52" t="s">
        <v>737</v>
      </c>
      <c r="D94" s="59"/>
      <c r="E94" s="52" t="s">
        <v>810</v>
      </c>
      <c r="F94" s="52" t="s">
        <v>868</v>
      </c>
      <c r="G94" s="66"/>
      <c r="H94" s="52" t="s">
        <v>1018</v>
      </c>
    </row>
    <row r="95" spans="1:259" ht="47" customHeight="1" x14ac:dyDescent="0.25">
      <c r="A95" s="16" t="s">
        <v>295</v>
      </c>
      <c r="B95" s="57" t="s">
        <v>167</v>
      </c>
      <c r="C95" s="52" t="s">
        <v>737</v>
      </c>
      <c r="D95" s="59"/>
      <c r="E95" s="52" t="s">
        <v>809</v>
      </c>
      <c r="F95" s="52" t="s">
        <v>868</v>
      </c>
      <c r="G95" s="66"/>
      <c r="H95" s="52" t="s">
        <v>1018</v>
      </c>
    </row>
    <row r="96" spans="1:259" ht="64" customHeight="1" x14ac:dyDescent="0.25">
      <c r="A96" s="16" t="s">
        <v>296</v>
      </c>
      <c r="B96" s="57" t="s">
        <v>719</v>
      </c>
      <c r="C96" s="52" t="s">
        <v>737</v>
      </c>
      <c r="D96" s="59"/>
      <c r="E96" s="53"/>
      <c r="F96" s="52" t="s">
        <v>868</v>
      </c>
      <c r="G96" s="66"/>
      <c r="H96" s="52" t="s">
        <v>1018</v>
      </c>
    </row>
    <row r="97" spans="1:8" ht="36" customHeight="1" x14ac:dyDescent="0.25">
      <c r="A97" s="79" t="str">
        <f>IF($C$10="","Change Management",IF($C$10="Yes","Change Management - Optional based on QUALIFIER response.","Change Management"))</f>
        <v>Change Management</v>
      </c>
      <c r="B97" s="79"/>
      <c r="C97" s="51" t="str">
        <f>$C$3</f>
        <v>CIS Critical Security Controls v6.1</v>
      </c>
      <c r="D97" s="51" t="str">
        <f>$D$3</f>
        <v>HIPAA</v>
      </c>
      <c r="E97" s="51" t="str">
        <f>$E$3</f>
        <v>ISO 27002:2013</v>
      </c>
      <c r="F97" s="51" t="str">
        <f>$F$3</f>
        <v>NIST Cybersecurity Framework</v>
      </c>
      <c r="G97" s="36" t="str">
        <f>$G$3</f>
        <v>NIST SP 800-171r1</v>
      </c>
      <c r="H97" s="51" t="str">
        <f>$H$3</f>
        <v>NIST SP 800-53r4</v>
      </c>
    </row>
    <row r="98" spans="1:8" ht="48" customHeight="1" x14ac:dyDescent="0.25">
      <c r="A98" s="16" t="s">
        <v>297</v>
      </c>
      <c r="B98" s="57" t="s">
        <v>133</v>
      </c>
      <c r="C98" s="52" t="s">
        <v>737</v>
      </c>
      <c r="D98" s="59"/>
      <c r="E98" s="52" t="s">
        <v>814</v>
      </c>
      <c r="F98" s="52" t="s">
        <v>952</v>
      </c>
      <c r="G98" s="65" t="s">
        <v>891</v>
      </c>
      <c r="H98" s="52" t="s">
        <v>1020</v>
      </c>
    </row>
    <row r="99" spans="1:8" ht="80" customHeight="1" x14ac:dyDescent="0.25">
      <c r="A99" s="16" t="s">
        <v>298</v>
      </c>
      <c r="B99" s="57" t="s">
        <v>620</v>
      </c>
      <c r="C99" s="52" t="s">
        <v>737</v>
      </c>
      <c r="D99" s="59"/>
      <c r="E99" s="52" t="s">
        <v>814</v>
      </c>
      <c r="F99" s="52" t="s">
        <v>953</v>
      </c>
      <c r="G99" s="65" t="s">
        <v>892</v>
      </c>
      <c r="H99" s="52" t="s">
        <v>1020</v>
      </c>
    </row>
    <row r="100" spans="1:8" ht="64" customHeight="1" x14ac:dyDescent="0.25">
      <c r="A100" s="16" t="s">
        <v>299</v>
      </c>
      <c r="B100" s="57" t="s">
        <v>694</v>
      </c>
      <c r="C100" s="52" t="s">
        <v>737</v>
      </c>
      <c r="D100" s="59"/>
      <c r="E100" s="52" t="s">
        <v>814</v>
      </c>
      <c r="F100" s="53"/>
      <c r="G100" s="66"/>
      <c r="H100" s="52" t="s">
        <v>1020</v>
      </c>
    </row>
    <row r="101" spans="1:8" ht="64" customHeight="1" x14ac:dyDescent="0.25">
      <c r="A101" s="16" t="s">
        <v>300</v>
      </c>
      <c r="B101" s="57" t="s">
        <v>127</v>
      </c>
      <c r="C101" s="52" t="s">
        <v>737</v>
      </c>
      <c r="D101" s="60"/>
      <c r="E101" s="53"/>
      <c r="F101" s="53"/>
      <c r="G101" s="66"/>
      <c r="H101" s="52" t="s">
        <v>1020</v>
      </c>
    </row>
    <row r="102" spans="1:8" ht="64" customHeight="1" x14ac:dyDescent="0.25">
      <c r="A102" s="16" t="s">
        <v>301</v>
      </c>
      <c r="B102" s="57" t="s">
        <v>537</v>
      </c>
      <c r="C102" s="52" t="s">
        <v>742</v>
      </c>
      <c r="D102" s="59"/>
      <c r="E102" s="53"/>
      <c r="F102" s="53"/>
      <c r="G102" s="66"/>
      <c r="H102" s="52" t="s">
        <v>1020</v>
      </c>
    </row>
    <row r="103" spans="1:8" ht="64" customHeight="1" x14ac:dyDescent="0.25">
      <c r="A103" s="16" t="s">
        <v>302</v>
      </c>
      <c r="B103" s="57" t="s">
        <v>145</v>
      </c>
      <c r="C103" s="52" t="s">
        <v>742</v>
      </c>
      <c r="D103" s="59"/>
      <c r="E103" s="53"/>
      <c r="F103" s="53"/>
      <c r="G103" s="66"/>
      <c r="H103" s="52" t="s">
        <v>1020</v>
      </c>
    </row>
    <row r="104" spans="1:8" ht="64" customHeight="1" x14ac:dyDescent="0.25">
      <c r="A104" s="16" t="s">
        <v>303</v>
      </c>
      <c r="B104" s="57" t="s">
        <v>560</v>
      </c>
      <c r="C104" s="52" t="s">
        <v>737</v>
      </c>
      <c r="D104" s="59"/>
      <c r="E104" s="53"/>
      <c r="F104" s="53"/>
      <c r="G104" s="66"/>
      <c r="H104" s="52" t="s">
        <v>1020</v>
      </c>
    </row>
    <row r="105" spans="1:8" ht="64" customHeight="1" x14ac:dyDescent="0.25">
      <c r="A105" s="16" t="s">
        <v>304</v>
      </c>
      <c r="B105" s="57" t="s">
        <v>132</v>
      </c>
      <c r="C105" s="52" t="s">
        <v>742</v>
      </c>
      <c r="D105" s="59"/>
      <c r="E105" s="52" t="s">
        <v>797</v>
      </c>
      <c r="F105" s="52" t="s">
        <v>948</v>
      </c>
      <c r="G105" s="65" t="s">
        <v>893</v>
      </c>
      <c r="H105" s="52" t="s">
        <v>1020</v>
      </c>
    </row>
    <row r="106" spans="1:8" ht="64" customHeight="1" x14ac:dyDescent="0.25">
      <c r="A106" s="16" t="s">
        <v>305</v>
      </c>
      <c r="B106" s="57" t="s">
        <v>524</v>
      </c>
      <c r="C106" s="52" t="s">
        <v>737</v>
      </c>
      <c r="D106" s="59"/>
      <c r="E106" s="53"/>
      <c r="F106" s="53"/>
      <c r="G106" s="65" t="s">
        <v>894</v>
      </c>
      <c r="H106" s="52" t="s">
        <v>1020</v>
      </c>
    </row>
    <row r="107" spans="1:8" ht="64" customHeight="1" x14ac:dyDescent="0.25">
      <c r="A107" s="16" t="s">
        <v>306</v>
      </c>
      <c r="B107" s="57" t="s">
        <v>525</v>
      </c>
      <c r="C107" s="52" t="s">
        <v>742</v>
      </c>
      <c r="D107" s="59"/>
      <c r="E107" s="53"/>
      <c r="F107" s="53"/>
      <c r="G107" s="66"/>
      <c r="H107" s="52" t="s">
        <v>1020</v>
      </c>
    </row>
    <row r="108" spans="1:8" ht="64" customHeight="1" x14ac:dyDescent="0.25">
      <c r="A108" s="16" t="s">
        <v>307</v>
      </c>
      <c r="B108" s="57" t="s">
        <v>526</v>
      </c>
      <c r="C108" s="53"/>
      <c r="D108" s="59"/>
      <c r="E108" s="53"/>
      <c r="F108" s="53"/>
      <c r="G108" s="66"/>
      <c r="H108" s="52" t="s">
        <v>1020</v>
      </c>
    </row>
    <row r="109" spans="1:8" ht="64" customHeight="1" x14ac:dyDescent="0.25">
      <c r="A109" s="16" t="s">
        <v>308</v>
      </c>
      <c r="B109" s="57" t="s">
        <v>535</v>
      </c>
      <c r="C109" s="52" t="s">
        <v>742</v>
      </c>
      <c r="D109" s="59"/>
      <c r="E109" s="52" t="s">
        <v>815</v>
      </c>
      <c r="F109" s="53"/>
      <c r="G109" s="66"/>
      <c r="H109" s="52" t="s">
        <v>1020</v>
      </c>
    </row>
    <row r="110" spans="1:8" ht="64" customHeight="1" x14ac:dyDescent="0.25">
      <c r="A110" s="16" t="s">
        <v>309</v>
      </c>
      <c r="B110" s="57" t="s">
        <v>536</v>
      </c>
      <c r="C110" s="52" t="s">
        <v>735</v>
      </c>
      <c r="D110" s="52" t="s">
        <v>768</v>
      </c>
      <c r="E110" s="52" t="s">
        <v>815</v>
      </c>
      <c r="F110" s="53"/>
      <c r="G110" s="66"/>
      <c r="H110" s="52" t="s">
        <v>1020</v>
      </c>
    </row>
    <row r="111" spans="1:8" ht="48" customHeight="1" x14ac:dyDescent="0.25">
      <c r="A111" s="16" t="s">
        <v>310</v>
      </c>
      <c r="B111" s="57" t="s">
        <v>134</v>
      </c>
      <c r="C111" s="52" t="s">
        <v>737</v>
      </c>
      <c r="D111" s="60"/>
      <c r="E111" s="53"/>
      <c r="F111" s="53"/>
      <c r="G111" s="66"/>
      <c r="H111" s="52" t="s">
        <v>1020</v>
      </c>
    </row>
    <row r="112" spans="1:8" ht="48" customHeight="1" x14ac:dyDescent="0.25">
      <c r="A112" s="16" t="s">
        <v>311</v>
      </c>
      <c r="B112" s="57" t="s">
        <v>135</v>
      </c>
      <c r="C112" s="52" t="s">
        <v>737</v>
      </c>
      <c r="D112" s="60"/>
      <c r="E112" s="52" t="s">
        <v>814</v>
      </c>
      <c r="F112" s="52" t="s">
        <v>952</v>
      </c>
      <c r="G112" s="66"/>
      <c r="H112" s="52" t="s">
        <v>1020</v>
      </c>
    </row>
    <row r="113" spans="1:259" ht="36" customHeight="1" x14ac:dyDescent="0.3">
      <c r="A113" s="79" t="str">
        <f>IF($C$10="","Data",IF($C$10="Yes","Data - Optional based on QUALIFIER response.","Data"))</f>
        <v>Data</v>
      </c>
      <c r="B113" s="79"/>
      <c r="C113" s="51" t="str">
        <f>$C$3</f>
        <v>CIS Critical Security Controls v6.1</v>
      </c>
      <c r="D113" s="51" t="str">
        <f>$D$3</f>
        <v>HIPAA</v>
      </c>
      <c r="E113" s="51" t="str">
        <f>$E$3</f>
        <v>ISO 27002:2013</v>
      </c>
      <c r="F113" s="51" t="str">
        <f>$F$3</f>
        <v>NIST Cybersecurity Framework</v>
      </c>
      <c r="G113" s="36" t="str">
        <f>$G$3</f>
        <v>NIST SP 800-171r1</v>
      </c>
      <c r="H113" s="51" t="str">
        <f>$H$3</f>
        <v>NIST SP 800-53r4</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row>
    <row r="114" spans="1:259" ht="65" customHeight="1" x14ac:dyDescent="0.3">
      <c r="A114" s="16" t="s">
        <v>312</v>
      </c>
      <c r="B114" s="57" t="s">
        <v>695</v>
      </c>
      <c r="C114" s="53"/>
      <c r="D114" s="53"/>
      <c r="E114" s="52" t="s">
        <v>816</v>
      </c>
      <c r="F114" s="52" t="s">
        <v>954</v>
      </c>
      <c r="G114" s="66"/>
      <c r="H114" s="53"/>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row>
    <row r="115" spans="1:259" ht="48" customHeight="1" x14ac:dyDescent="0.3">
      <c r="A115" s="16" t="s">
        <v>313</v>
      </c>
      <c r="B115" s="57" t="s">
        <v>651</v>
      </c>
      <c r="C115" s="52" t="s">
        <v>741</v>
      </c>
      <c r="D115" s="53"/>
      <c r="E115" s="53"/>
      <c r="F115" s="52" t="s">
        <v>955</v>
      </c>
      <c r="G115" s="65" t="s">
        <v>895</v>
      </c>
      <c r="H115" s="52" t="s">
        <v>1021</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row>
    <row r="116" spans="1:259" ht="48" customHeight="1" x14ac:dyDescent="0.3">
      <c r="A116" s="16" t="s">
        <v>314</v>
      </c>
      <c r="B116" s="57" t="s">
        <v>696</v>
      </c>
      <c r="C116" s="52" t="s">
        <v>741</v>
      </c>
      <c r="D116" s="53"/>
      <c r="E116" s="53"/>
      <c r="F116" s="52" t="s">
        <v>955</v>
      </c>
      <c r="G116" s="65" t="s">
        <v>896</v>
      </c>
      <c r="H116" s="52" t="s">
        <v>1022</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row>
    <row r="117" spans="1:259" ht="48" customHeight="1" x14ac:dyDescent="0.3">
      <c r="A117" s="16" t="s">
        <v>315</v>
      </c>
      <c r="B117" s="57" t="s">
        <v>571</v>
      </c>
      <c r="C117" s="52" t="s">
        <v>735</v>
      </c>
      <c r="D117" s="53"/>
      <c r="E117" s="52" t="s">
        <v>817</v>
      </c>
      <c r="F117" s="52" t="s">
        <v>956</v>
      </c>
      <c r="G117" s="66"/>
      <c r="H117" s="53"/>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row>
    <row r="118" spans="1:259" ht="48" customHeight="1" x14ac:dyDescent="0.3">
      <c r="A118" s="16" t="s">
        <v>316</v>
      </c>
      <c r="B118" s="57" t="s">
        <v>572</v>
      </c>
      <c r="C118" s="52" t="s">
        <v>735</v>
      </c>
      <c r="D118" s="53"/>
      <c r="E118" s="52" t="s">
        <v>818</v>
      </c>
      <c r="F118" s="52" t="s">
        <v>957</v>
      </c>
      <c r="G118" s="65" t="s">
        <v>897</v>
      </c>
      <c r="H118" s="52" t="s">
        <v>1023</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row>
    <row r="119" spans="1:259" ht="48" customHeight="1" x14ac:dyDescent="0.3">
      <c r="A119" s="16" t="s">
        <v>317</v>
      </c>
      <c r="B119" s="57" t="s">
        <v>539</v>
      </c>
      <c r="C119" s="52" t="s">
        <v>735</v>
      </c>
      <c r="D119" s="53"/>
      <c r="E119" s="52" t="s">
        <v>818</v>
      </c>
      <c r="F119" s="53"/>
      <c r="G119" s="65" t="s">
        <v>907</v>
      </c>
      <c r="H119" s="53"/>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row>
    <row r="120" spans="1:259" ht="65" customHeight="1" x14ac:dyDescent="0.3">
      <c r="A120" s="16" t="s">
        <v>318</v>
      </c>
      <c r="B120" s="57" t="s">
        <v>527</v>
      </c>
      <c r="C120" s="52" t="s">
        <v>735</v>
      </c>
      <c r="D120" s="53"/>
      <c r="E120" s="52" t="s">
        <v>824</v>
      </c>
      <c r="F120" s="52" t="s">
        <v>956</v>
      </c>
      <c r="G120" s="66"/>
      <c r="H120" s="52" t="s">
        <v>1024</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row>
    <row r="121" spans="1:259" ht="60" customHeight="1" x14ac:dyDescent="0.3">
      <c r="A121" s="16" t="s">
        <v>319</v>
      </c>
      <c r="B121" s="57" t="s">
        <v>652</v>
      </c>
      <c r="C121" s="52" t="s">
        <v>748</v>
      </c>
      <c r="D121" s="53"/>
      <c r="E121" s="53"/>
      <c r="F121" s="53"/>
      <c r="G121" s="65" t="s">
        <v>898</v>
      </c>
      <c r="H121" s="52" t="s">
        <v>1001</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row>
    <row r="122" spans="1:259" ht="36" customHeight="1" x14ac:dyDescent="0.3">
      <c r="A122" s="16" t="s">
        <v>320</v>
      </c>
      <c r="B122" s="57" t="s">
        <v>653</v>
      </c>
      <c r="C122" s="52" t="s">
        <v>735</v>
      </c>
      <c r="D122" s="53"/>
      <c r="E122" s="52" t="s">
        <v>819</v>
      </c>
      <c r="F122" s="53"/>
      <c r="G122" s="65" t="s">
        <v>898</v>
      </c>
      <c r="H122" s="52" t="s">
        <v>1001</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row>
    <row r="123" spans="1:259" ht="48" customHeight="1" x14ac:dyDescent="0.3">
      <c r="A123" s="16" t="s">
        <v>321</v>
      </c>
      <c r="B123" s="57" t="s">
        <v>654</v>
      </c>
      <c r="C123" s="52" t="s">
        <v>735</v>
      </c>
      <c r="D123" s="53"/>
      <c r="E123" s="52" t="s">
        <v>819</v>
      </c>
      <c r="F123" s="53"/>
      <c r="G123" s="65" t="s">
        <v>898</v>
      </c>
      <c r="H123" s="52" t="s">
        <v>1001</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row>
    <row r="124" spans="1:259" ht="48" customHeight="1" x14ac:dyDescent="0.3">
      <c r="A124" s="16" t="s">
        <v>322</v>
      </c>
      <c r="B124" s="57" t="s">
        <v>655</v>
      </c>
      <c r="C124" s="52" t="s">
        <v>735</v>
      </c>
      <c r="D124" s="53"/>
      <c r="E124" s="52" t="s">
        <v>819</v>
      </c>
      <c r="F124" s="53"/>
      <c r="G124" s="66"/>
      <c r="H124" s="53"/>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row>
    <row r="125" spans="1:259" ht="36" customHeight="1" x14ac:dyDescent="0.3">
      <c r="A125" s="16" t="s">
        <v>323</v>
      </c>
      <c r="B125" s="57" t="s">
        <v>656</v>
      </c>
      <c r="C125" s="53"/>
      <c r="D125" s="53"/>
      <c r="E125" s="52" t="s">
        <v>820</v>
      </c>
      <c r="F125" s="53"/>
      <c r="G125" s="66"/>
      <c r="H125" s="53"/>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row>
    <row r="126" spans="1:259" ht="48" customHeight="1" x14ac:dyDescent="0.3">
      <c r="A126" s="16" t="s">
        <v>324</v>
      </c>
      <c r="B126" s="57" t="s">
        <v>697</v>
      </c>
      <c r="C126" s="52" t="s">
        <v>735</v>
      </c>
      <c r="D126" s="53"/>
      <c r="E126" s="52" t="s">
        <v>821</v>
      </c>
      <c r="F126" s="53"/>
      <c r="G126" s="65" t="s">
        <v>898</v>
      </c>
      <c r="H126" s="53"/>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row>
    <row r="127" spans="1:259" ht="36" customHeight="1" x14ac:dyDescent="0.3">
      <c r="A127" s="16" t="s">
        <v>325</v>
      </c>
      <c r="B127" s="57" t="s">
        <v>129</v>
      </c>
      <c r="C127" s="52" t="s">
        <v>735</v>
      </c>
      <c r="D127" s="53"/>
      <c r="E127" s="52" t="s">
        <v>821</v>
      </c>
      <c r="F127" s="53"/>
      <c r="G127" s="65" t="s">
        <v>869</v>
      </c>
      <c r="H127" s="53"/>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row>
    <row r="128" spans="1:259" ht="54" customHeight="1" x14ac:dyDescent="0.3">
      <c r="A128" s="16" t="s">
        <v>326</v>
      </c>
      <c r="B128" s="57" t="s">
        <v>130</v>
      </c>
      <c r="C128" s="52" t="s">
        <v>749</v>
      </c>
      <c r="D128" s="53"/>
      <c r="E128" s="52" t="s">
        <v>821</v>
      </c>
      <c r="F128" s="53"/>
      <c r="G128" s="65" t="s">
        <v>898</v>
      </c>
      <c r="H128" s="53"/>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row>
    <row r="129" spans="1:259" ht="48" customHeight="1" x14ac:dyDescent="0.3">
      <c r="A129" s="16" t="s">
        <v>327</v>
      </c>
      <c r="B129" s="57" t="s">
        <v>528</v>
      </c>
      <c r="C129" s="52" t="s">
        <v>737</v>
      </c>
      <c r="D129" s="53"/>
      <c r="E129" s="52" t="s">
        <v>820</v>
      </c>
      <c r="F129" s="52" t="s">
        <v>958</v>
      </c>
      <c r="G129" s="65" t="s">
        <v>899</v>
      </c>
      <c r="H129" s="52" t="s">
        <v>1025</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row>
    <row r="130" spans="1:259" ht="48" customHeight="1" x14ac:dyDescent="0.3">
      <c r="A130" s="16" t="s">
        <v>328</v>
      </c>
      <c r="B130" s="57" t="s">
        <v>138</v>
      </c>
      <c r="C130" s="52" t="s">
        <v>737</v>
      </c>
      <c r="D130" s="53"/>
      <c r="E130" s="52" t="s">
        <v>820</v>
      </c>
      <c r="F130" s="52" t="s">
        <v>958</v>
      </c>
      <c r="G130" s="65" t="s">
        <v>899</v>
      </c>
      <c r="H130" s="52" t="s">
        <v>1025</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row>
    <row r="131" spans="1:259" ht="36" customHeight="1" x14ac:dyDescent="0.3">
      <c r="A131" s="16" t="s">
        <v>329</v>
      </c>
      <c r="B131" s="57" t="s">
        <v>31</v>
      </c>
      <c r="C131" s="52" t="s">
        <v>737</v>
      </c>
      <c r="D131" s="53"/>
      <c r="E131" s="52" t="s">
        <v>820</v>
      </c>
      <c r="F131" s="52" t="s">
        <v>958</v>
      </c>
      <c r="G131" s="65" t="s">
        <v>899</v>
      </c>
      <c r="H131" s="52" t="s">
        <v>1025</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row>
    <row r="132" spans="1:259" ht="36" customHeight="1" x14ac:dyDescent="0.3">
      <c r="A132" s="16" t="s">
        <v>330</v>
      </c>
      <c r="B132" s="57" t="s">
        <v>698</v>
      </c>
      <c r="C132" s="52" t="s">
        <v>737</v>
      </c>
      <c r="D132" s="53"/>
      <c r="E132" s="52" t="s">
        <v>820</v>
      </c>
      <c r="F132" s="52" t="s">
        <v>959</v>
      </c>
      <c r="G132" s="65" t="s">
        <v>899</v>
      </c>
      <c r="H132" s="52" t="s">
        <v>1025</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row>
    <row r="133" spans="1:259" ht="48" customHeight="1" x14ac:dyDescent="0.3">
      <c r="A133" s="16" t="s">
        <v>331</v>
      </c>
      <c r="B133" s="57" t="s">
        <v>573</v>
      </c>
      <c r="C133" s="52" t="s">
        <v>737</v>
      </c>
      <c r="D133" s="53"/>
      <c r="E133" s="52" t="s">
        <v>820</v>
      </c>
      <c r="F133" s="52" t="s">
        <v>957</v>
      </c>
      <c r="G133" s="65" t="s">
        <v>900</v>
      </c>
      <c r="H133" s="52" t="s">
        <v>1031</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row>
    <row r="134" spans="1:259" ht="72" customHeight="1" x14ac:dyDescent="0.3">
      <c r="A134" s="16" t="s">
        <v>332</v>
      </c>
      <c r="B134" s="57" t="s">
        <v>529</v>
      </c>
      <c r="C134" s="52" t="s">
        <v>737</v>
      </c>
      <c r="D134" s="53"/>
      <c r="E134" s="52" t="s">
        <v>822</v>
      </c>
      <c r="F134" s="53"/>
      <c r="G134" s="65" t="s">
        <v>901</v>
      </c>
      <c r="H134" s="52" t="s">
        <v>1030</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row>
    <row r="135" spans="1:259" ht="48" customHeight="1" x14ac:dyDescent="0.3">
      <c r="A135" s="16" t="s">
        <v>333</v>
      </c>
      <c r="B135" s="57" t="s">
        <v>699</v>
      </c>
      <c r="C135" s="52" t="s">
        <v>737</v>
      </c>
      <c r="D135" s="53"/>
      <c r="E135" s="52" t="s">
        <v>820</v>
      </c>
      <c r="F135" s="52" t="s">
        <v>960</v>
      </c>
      <c r="G135" s="65" t="s">
        <v>899</v>
      </c>
      <c r="H135" s="52" t="s">
        <v>1025</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row>
    <row r="136" spans="1:259" ht="36" customHeight="1" x14ac:dyDescent="0.3">
      <c r="A136" s="16" t="s">
        <v>334</v>
      </c>
      <c r="B136" s="57" t="s">
        <v>32</v>
      </c>
      <c r="C136" s="52" t="s">
        <v>737</v>
      </c>
      <c r="D136" s="53"/>
      <c r="E136" s="52" t="s">
        <v>820</v>
      </c>
      <c r="F136" s="52" t="s">
        <v>958</v>
      </c>
      <c r="G136" s="65" t="s">
        <v>902</v>
      </c>
      <c r="H136" s="52" t="s">
        <v>1025</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row>
    <row r="137" spans="1:259" ht="48" customHeight="1" x14ac:dyDescent="0.3">
      <c r="A137" s="16" t="s">
        <v>335</v>
      </c>
      <c r="B137" s="57" t="s">
        <v>700</v>
      </c>
      <c r="C137" s="52" t="s">
        <v>737</v>
      </c>
      <c r="D137" s="53"/>
      <c r="E137" s="52" t="s">
        <v>820</v>
      </c>
      <c r="F137" s="52" t="s">
        <v>958</v>
      </c>
      <c r="G137" s="65" t="s">
        <v>903</v>
      </c>
      <c r="H137" s="52" t="s">
        <v>1031</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row>
    <row r="138" spans="1:259" ht="48" customHeight="1" x14ac:dyDescent="0.3">
      <c r="A138" s="16" t="s">
        <v>336</v>
      </c>
      <c r="B138" s="57" t="s">
        <v>657</v>
      </c>
      <c r="C138" s="52" t="s">
        <v>735</v>
      </c>
      <c r="D138" s="53"/>
      <c r="E138" s="52" t="s">
        <v>820</v>
      </c>
      <c r="F138" s="53"/>
      <c r="G138" s="65" t="s">
        <v>899</v>
      </c>
      <c r="H138" s="52" t="s">
        <v>1031</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row>
    <row r="139" spans="1:259" ht="73" customHeight="1" x14ac:dyDescent="0.3">
      <c r="A139" s="16" t="s">
        <v>337</v>
      </c>
      <c r="B139" s="57" t="s">
        <v>701</v>
      </c>
      <c r="C139" s="52" t="s">
        <v>735</v>
      </c>
      <c r="D139" s="53"/>
      <c r="E139" s="52" t="s">
        <v>823</v>
      </c>
      <c r="F139" s="52" t="s">
        <v>961</v>
      </c>
      <c r="G139" s="65" t="s">
        <v>904</v>
      </c>
      <c r="H139" s="52" t="s">
        <v>1026</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row>
    <row r="140" spans="1:259" ht="36" customHeight="1" x14ac:dyDescent="0.3">
      <c r="A140" s="16" t="s">
        <v>338</v>
      </c>
      <c r="B140" s="57" t="s">
        <v>128</v>
      </c>
      <c r="C140" s="52" t="s">
        <v>735</v>
      </c>
      <c r="D140" s="53"/>
      <c r="E140" s="52" t="s">
        <v>825</v>
      </c>
      <c r="F140" s="52" t="s">
        <v>961</v>
      </c>
      <c r="G140" s="65" t="s">
        <v>905</v>
      </c>
      <c r="H140" s="52" t="s">
        <v>1027</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row>
    <row r="141" spans="1:259" ht="48" customHeight="1" x14ac:dyDescent="0.3">
      <c r="A141" s="16" t="s">
        <v>339</v>
      </c>
      <c r="B141" s="57" t="s">
        <v>140</v>
      </c>
      <c r="C141" s="52" t="s">
        <v>735</v>
      </c>
      <c r="D141" s="53"/>
      <c r="E141" s="52" t="s">
        <v>825</v>
      </c>
      <c r="F141" s="52" t="s">
        <v>962</v>
      </c>
      <c r="G141" s="65" t="s">
        <v>905</v>
      </c>
      <c r="H141" s="52" t="s">
        <v>1028</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row>
    <row r="142" spans="1:259" ht="48" customHeight="1" x14ac:dyDescent="0.3">
      <c r="A142" s="16" t="s">
        <v>340</v>
      </c>
      <c r="B142" s="57" t="s">
        <v>139</v>
      </c>
      <c r="C142" s="52" t="s">
        <v>735</v>
      </c>
      <c r="D142" s="53"/>
      <c r="E142" s="52" t="s">
        <v>825</v>
      </c>
      <c r="F142" s="52" t="s">
        <v>961</v>
      </c>
      <c r="G142" s="65" t="s">
        <v>906</v>
      </c>
      <c r="H142" s="52" t="s">
        <v>1029</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row>
    <row r="143" spans="1:259" ht="36" customHeight="1" x14ac:dyDescent="0.3">
      <c r="A143" s="16" t="s">
        <v>493</v>
      </c>
      <c r="B143" s="57" t="s">
        <v>33</v>
      </c>
      <c r="C143" s="52" t="s">
        <v>735</v>
      </c>
      <c r="D143" s="53"/>
      <c r="E143" s="52" t="s">
        <v>784</v>
      </c>
      <c r="F143" s="52" t="s">
        <v>866</v>
      </c>
      <c r="G143" s="66"/>
      <c r="H143" s="5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row>
    <row r="144" spans="1:259" ht="36" customHeight="1" x14ac:dyDescent="0.3">
      <c r="A144" s="16" t="s">
        <v>574</v>
      </c>
      <c r="B144" s="57" t="s">
        <v>658</v>
      </c>
      <c r="C144" s="52" t="s">
        <v>750</v>
      </c>
      <c r="D144" s="53"/>
      <c r="E144" s="52" t="s">
        <v>799</v>
      </c>
      <c r="F144" s="52" t="s">
        <v>942</v>
      </c>
      <c r="G144" s="66"/>
      <c r="H144" s="53"/>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row>
    <row r="145" spans="1:259" ht="36" customHeight="1" x14ac:dyDescent="0.3">
      <c r="A145" s="79" t="str">
        <f>IF($C$10="","Database",IF($C$10="Yes","Database - Optional based on QUALIFIER response.","Database"))</f>
        <v>Database</v>
      </c>
      <c r="B145" s="79"/>
      <c r="C145" s="51" t="str">
        <f>$C$3</f>
        <v>CIS Critical Security Controls v6.1</v>
      </c>
      <c r="D145" s="51" t="str">
        <f>$D$3</f>
        <v>HIPAA</v>
      </c>
      <c r="E145" s="51" t="str">
        <f>$E$3</f>
        <v>ISO 27002:2013</v>
      </c>
      <c r="F145" s="51" t="str">
        <f>$F$3</f>
        <v>NIST Cybersecurity Framework</v>
      </c>
      <c r="G145" s="36" t="str">
        <f>$G$3</f>
        <v>NIST SP 800-171r1</v>
      </c>
      <c r="H145" s="51" t="str">
        <f>$H$3</f>
        <v>NIST SP 800-53r4</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row>
    <row r="146" spans="1:259" ht="36" customHeight="1" x14ac:dyDescent="0.3">
      <c r="A146" s="16" t="s">
        <v>341</v>
      </c>
      <c r="B146" s="57" t="s">
        <v>34</v>
      </c>
      <c r="C146" s="52" t="s">
        <v>735</v>
      </c>
      <c r="D146" s="59"/>
      <c r="E146" s="52" t="s">
        <v>817</v>
      </c>
      <c r="F146" s="52" t="s">
        <v>957</v>
      </c>
      <c r="G146" s="66"/>
      <c r="H146" s="59"/>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row>
    <row r="147" spans="1:259" ht="37" customHeight="1" x14ac:dyDescent="0.3">
      <c r="A147" s="16" t="s">
        <v>342</v>
      </c>
      <c r="B147" s="57" t="s">
        <v>720</v>
      </c>
      <c r="C147" s="52" t="s">
        <v>735</v>
      </c>
      <c r="D147" s="59"/>
      <c r="E147" s="52" t="s">
        <v>817</v>
      </c>
      <c r="F147" s="52" t="s">
        <v>963</v>
      </c>
      <c r="G147" s="66"/>
      <c r="H147" s="59"/>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row>
    <row r="148" spans="1:259" ht="36" customHeight="1" x14ac:dyDescent="0.3">
      <c r="A148" s="79" t="str">
        <f>IF($C$10="","Datacenter",IF($C$10="Yes","Datacenter - Optional based on QUALIFIER response.","Datacenter"))</f>
        <v>Datacenter</v>
      </c>
      <c r="B148" s="79"/>
      <c r="C148" s="51" t="str">
        <f>$C$3</f>
        <v>CIS Critical Security Controls v6.1</v>
      </c>
      <c r="D148" s="51" t="str">
        <f>$D$3</f>
        <v>HIPAA</v>
      </c>
      <c r="E148" s="51" t="str">
        <f>$E$3</f>
        <v>ISO 27002:2013</v>
      </c>
      <c r="F148" s="51" t="str">
        <f>$F$3</f>
        <v>NIST Cybersecurity Framework</v>
      </c>
      <c r="G148" s="36" t="str">
        <f>$G$3</f>
        <v>NIST SP 800-171r1</v>
      </c>
      <c r="H148" s="51" t="str">
        <f>$H$3</f>
        <v>NIST SP 800-53r4</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row>
    <row r="149" spans="1:259" ht="49" customHeight="1" x14ac:dyDescent="0.3">
      <c r="A149" s="16" t="s">
        <v>343</v>
      </c>
      <c r="B149" s="57" t="s">
        <v>702</v>
      </c>
      <c r="C149" s="52" t="s">
        <v>738</v>
      </c>
      <c r="D149" s="59"/>
      <c r="E149" s="52" t="s">
        <v>826</v>
      </c>
      <c r="F149" s="52" t="s">
        <v>955</v>
      </c>
      <c r="G149" s="66"/>
      <c r="H149" s="5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row>
    <row r="150" spans="1:259" ht="48" customHeight="1" x14ac:dyDescent="0.3">
      <c r="A150" s="16" t="s">
        <v>344</v>
      </c>
      <c r="B150" s="57" t="s">
        <v>621</v>
      </c>
      <c r="C150" s="52" t="s">
        <v>735</v>
      </c>
      <c r="D150" s="59"/>
      <c r="E150" s="52" t="s">
        <v>826</v>
      </c>
      <c r="F150" s="53"/>
      <c r="G150" s="66"/>
      <c r="H150" s="59"/>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row>
    <row r="151" spans="1:259" ht="36" customHeight="1" x14ac:dyDescent="0.3">
      <c r="A151" s="16" t="s">
        <v>345</v>
      </c>
      <c r="B151" s="57" t="s">
        <v>703</v>
      </c>
      <c r="C151" s="52" t="s">
        <v>751</v>
      </c>
      <c r="D151" s="59"/>
      <c r="E151" s="52" t="s">
        <v>810</v>
      </c>
      <c r="F151" s="53"/>
      <c r="G151" s="66"/>
      <c r="H151" s="59"/>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row>
    <row r="152" spans="1:259" ht="47" customHeight="1" x14ac:dyDescent="0.3">
      <c r="A152" s="16" t="s">
        <v>346</v>
      </c>
      <c r="B152" s="57" t="s">
        <v>35</v>
      </c>
      <c r="C152" s="52" t="s">
        <v>753</v>
      </c>
      <c r="D152" s="59"/>
      <c r="E152" s="53"/>
      <c r="F152" s="53"/>
      <c r="G152" s="66"/>
      <c r="H152" s="52" t="s">
        <v>1000</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row>
    <row r="153" spans="1:259" ht="47" customHeight="1" x14ac:dyDescent="0.3">
      <c r="A153" s="16" t="s">
        <v>347</v>
      </c>
      <c r="B153" s="57" t="s">
        <v>36</v>
      </c>
      <c r="C153" s="52" t="s">
        <v>753</v>
      </c>
      <c r="D153" s="59"/>
      <c r="E153" s="52" t="s">
        <v>827</v>
      </c>
      <c r="F153" s="52" t="s">
        <v>964</v>
      </c>
      <c r="G153" s="66"/>
      <c r="H153" s="59"/>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row>
    <row r="154" spans="1:259" ht="48" customHeight="1" x14ac:dyDescent="0.3">
      <c r="A154" s="16" t="s">
        <v>348</v>
      </c>
      <c r="B154" s="57" t="s">
        <v>37</v>
      </c>
      <c r="C154" s="52" t="s">
        <v>738</v>
      </c>
      <c r="D154" s="59"/>
      <c r="E154" s="52" t="s">
        <v>830</v>
      </c>
      <c r="F154" s="52" t="s">
        <v>964</v>
      </c>
      <c r="G154" s="65" t="s">
        <v>906</v>
      </c>
      <c r="H154" s="59"/>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row>
    <row r="155" spans="1:259" ht="47" customHeight="1" x14ac:dyDescent="0.3">
      <c r="A155" s="16" t="s">
        <v>349</v>
      </c>
      <c r="B155" s="57" t="s">
        <v>40</v>
      </c>
      <c r="C155" s="52" t="s">
        <v>752</v>
      </c>
      <c r="D155" s="59"/>
      <c r="E155" s="53"/>
      <c r="F155" s="52" t="s">
        <v>965</v>
      </c>
      <c r="G155" s="65" t="s">
        <v>908</v>
      </c>
      <c r="H155" s="59"/>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row>
    <row r="156" spans="1:259" ht="36" customHeight="1" x14ac:dyDescent="0.3">
      <c r="A156" s="16" t="s">
        <v>350</v>
      </c>
      <c r="B156" s="57" t="s">
        <v>38</v>
      </c>
      <c r="C156" s="52" t="s">
        <v>741</v>
      </c>
      <c r="D156" s="59"/>
      <c r="E156" s="52" t="s">
        <v>784</v>
      </c>
      <c r="F156" s="53"/>
      <c r="G156" s="66"/>
      <c r="H156" s="59"/>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row>
    <row r="157" spans="1:259" ht="36" customHeight="1" x14ac:dyDescent="0.3">
      <c r="A157" s="16" t="s">
        <v>351</v>
      </c>
      <c r="B157" s="57" t="s">
        <v>659</v>
      </c>
      <c r="C157" s="52" t="s">
        <v>741</v>
      </c>
      <c r="D157" s="59"/>
      <c r="E157" s="52" t="s">
        <v>784</v>
      </c>
      <c r="F157" s="53"/>
      <c r="G157" s="66"/>
      <c r="H157" s="59"/>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row>
    <row r="158" spans="1:259" ht="64" customHeight="1" x14ac:dyDescent="0.3">
      <c r="A158" s="16" t="s">
        <v>352</v>
      </c>
      <c r="B158" s="57" t="s">
        <v>660</v>
      </c>
      <c r="C158" s="52" t="s">
        <v>741</v>
      </c>
      <c r="D158" s="59"/>
      <c r="E158" s="52" t="s">
        <v>828</v>
      </c>
      <c r="F158" s="53"/>
      <c r="G158" s="67"/>
      <c r="H158" s="59"/>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row>
    <row r="159" spans="1:259" ht="53" customHeight="1" x14ac:dyDescent="0.3">
      <c r="A159" s="16" t="s">
        <v>353</v>
      </c>
      <c r="B159" s="57" t="s">
        <v>39</v>
      </c>
      <c r="C159" s="52" t="s">
        <v>737</v>
      </c>
      <c r="D159" s="59"/>
      <c r="E159" s="52" t="s">
        <v>829</v>
      </c>
      <c r="F159" s="53"/>
      <c r="G159" s="66"/>
      <c r="H159" s="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row>
    <row r="160" spans="1:259" ht="36" customHeight="1" x14ac:dyDescent="0.3">
      <c r="A160" s="16" t="s">
        <v>354</v>
      </c>
      <c r="B160" s="57" t="s">
        <v>609</v>
      </c>
      <c r="C160" s="52" t="s">
        <v>741</v>
      </c>
      <c r="D160" s="59"/>
      <c r="E160" s="52" t="s">
        <v>784</v>
      </c>
      <c r="F160" s="53"/>
      <c r="G160" s="66"/>
      <c r="H160" s="59"/>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row>
    <row r="161" spans="1:259" ht="36" customHeight="1" x14ac:dyDescent="0.3">
      <c r="A161" s="16" t="s">
        <v>355</v>
      </c>
      <c r="B161" s="57" t="s">
        <v>136</v>
      </c>
      <c r="C161" s="53"/>
      <c r="D161" s="59"/>
      <c r="E161" s="52" t="s">
        <v>808</v>
      </c>
      <c r="F161" s="53"/>
      <c r="G161" s="66"/>
      <c r="H161" s="59"/>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row>
    <row r="162" spans="1:259" s="1" customFormat="1" ht="48" customHeight="1" x14ac:dyDescent="0.3">
      <c r="A162" s="16" t="s">
        <v>356</v>
      </c>
      <c r="B162" s="57" t="s">
        <v>558</v>
      </c>
      <c r="C162" s="52" t="s">
        <v>737</v>
      </c>
      <c r="D162" s="59"/>
      <c r="E162" s="52" t="s">
        <v>808</v>
      </c>
      <c r="F162" s="52" t="s">
        <v>966</v>
      </c>
      <c r="G162" s="66"/>
      <c r="H162" s="59"/>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c r="IW162" s="4"/>
      <c r="IX162" s="4"/>
      <c r="IY162" s="4"/>
    </row>
    <row r="163" spans="1:259" ht="64" customHeight="1" x14ac:dyDescent="0.3">
      <c r="A163" s="16" t="s">
        <v>357</v>
      </c>
      <c r="B163" s="57" t="s">
        <v>661</v>
      </c>
      <c r="C163" s="53"/>
      <c r="D163" s="59"/>
      <c r="E163" s="52" t="s">
        <v>810</v>
      </c>
      <c r="F163" s="52" t="s">
        <v>966</v>
      </c>
      <c r="G163" s="66"/>
      <c r="H163" s="59"/>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row>
    <row r="164" spans="1:259" ht="36" customHeight="1" x14ac:dyDescent="0.3">
      <c r="A164" s="16" t="s">
        <v>358</v>
      </c>
      <c r="B164" s="57" t="s">
        <v>137</v>
      </c>
      <c r="C164" s="53"/>
      <c r="D164" s="59"/>
      <c r="E164" s="52" t="s">
        <v>809</v>
      </c>
      <c r="F164" s="52" t="s">
        <v>966</v>
      </c>
      <c r="G164" s="67"/>
      <c r="H164" s="59"/>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row>
    <row r="165" spans="1:259" ht="48" customHeight="1" x14ac:dyDescent="0.3">
      <c r="A165" s="16" t="s">
        <v>359</v>
      </c>
      <c r="B165" s="57" t="s">
        <v>662</v>
      </c>
      <c r="C165" s="53"/>
      <c r="D165" s="59"/>
      <c r="E165" s="52" t="s">
        <v>810</v>
      </c>
      <c r="F165" s="53"/>
      <c r="G165" s="67"/>
      <c r="H165" s="52" t="s">
        <v>1032</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row>
    <row r="166" spans="1:259" ht="48" customHeight="1" x14ac:dyDescent="0.3">
      <c r="A166" s="16" t="s">
        <v>360</v>
      </c>
      <c r="B166" s="57" t="s">
        <v>704</v>
      </c>
      <c r="C166" s="52" t="s">
        <v>737</v>
      </c>
      <c r="D166" s="59"/>
      <c r="E166" s="52" t="s">
        <v>810</v>
      </c>
      <c r="F166" s="52" t="s">
        <v>966</v>
      </c>
      <c r="G166" s="67"/>
      <c r="H166" s="52" t="s">
        <v>1032</v>
      </c>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row>
    <row r="167" spans="1:259" ht="48" customHeight="1" x14ac:dyDescent="0.3">
      <c r="A167" s="16" t="s">
        <v>361</v>
      </c>
      <c r="B167" s="57" t="s">
        <v>705</v>
      </c>
      <c r="C167" s="52" t="s">
        <v>735</v>
      </c>
      <c r="D167" s="59"/>
      <c r="E167" s="52" t="s">
        <v>810</v>
      </c>
      <c r="F167" s="52" t="s">
        <v>966</v>
      </c>
      <c r="G167" s="66"/>
      <c r="H167" s="52" t="s">
        <v>1032</v>
      </c>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row>
    <row r="168" spans="1:259" ht="36" customHeight="1" x14ac:dyDescent="0.3">
      <c r="A168" s="79" t="str">
        <f>IF(OR($C$8="No",$C$10="Yes"),"DRP - Optional based on QUALIFIER response.","Disaster Recovery Plan")</f>
        <v>Disaster Recovery Plan</v>
      </c>
      <c r="B168" s="79"/>
      <c r="C168" s="51" t="str">
        <f>$C$3</f>
        <v>CIS Critical Security Controls v6.1</v>
      </c>
      <c r="D168" s="51" t="str">
        <f>$D$3</f>
        <v>HIPAA</v>
      </c>
      <c r="E168" s="51" t="str">
        <f>$E$3</f>
        <v>ISO 27002:2013</v>
      </c>
      <c r="F168" s="51" t="str">
        <f>$F$3</f>
        <v>NIST Cybersecurity Framework</v>
      </c>
      <c r="G168" s="36" t="str">
        <f>$G$3</f>
        <v>NIST SP 800-171r1</v>
      </c>
      <c r="H168" s="51" t="str">
        <f>$H$3</f>
        <v>NIST SP 800-53r4</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row>
    <row r="169" spans="1:259" ht="48" customHeight="1" x14ac:dyDescent="0.3">
      <c r="A169" s="16" t="s">
        <v>362</v>
      </c>
      <c r="B169" s="57" t="s">
        <v>706</v>
      </c>
      <c r="C169" s="52" t="s">
        <v>737</v>
      </c>
      <c r="D169" s="59"/>
      <c r="E169" s="52" t="s">
        <v>808</v>
      </c>
      <c r="F169" s="52" t="s">
        <v>868</v>
      </c>
      <c r="G169" s="65" t="s">
        <v>889</v>
      </c>
      <c r="H169" s="54" t="s">
        <v>1018</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row>
    <row r="170" spans="1:259" ht="47" customHeight="1" x14ac:dyDescent="0.3">
      <c r="A170" s="16" t="s">
        <v>363</v>
      </c>
      <c r="B170" s="57" t="s">
        <v>707</v>
      </c>
      <c r="C170" s="52" t="s">
        <v>737</v>
      </c>
      <c r="D170" s="59"/>
      <c r="E170" s="52" t="s">
        <v>832</v>
      </c>
      <c r="F170" s="52" t="s">
        <v>868</v>
      </c>
      <c r="G170" s="65" t="s">
        <v>889</v>
      </c>
      <c r="H170" s="54" t="s">
        <v>1018</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row>
    <row r="171" spans="1:259" ht="47" customHeight="1" x14ac:dyDescent="0.3">
      <c r="A171" s="16" t="s">
        <v>364</v>
      </c>
      <c r="B171" s="57" t="s">
        <v>708</v>
      </c>
      <c r="C171" s="52" t="s">
        <v>737</v>
      </c>
      <c r="D171" s="59"/>
      <c r="E171" s="53"/>
      <c r="F171" s="52" t="s">
        <v>868</v>
      </c>
      <c r="G171" s="65" t="s">
        <v>889</v>
      </c>
      <c r="H171" s="54" t="s">
        <v>1018</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row>
    <row r="172" spans="1:259" ht="47" customHeight="1" x14ac:dyDescent="0.3">
      <c r="A172" s="16" t="s">
        <v>365</v>
      </c>
      <c r="B172" s="57" t="s">
        <v>42</v>
      </c>
      <c r="C172" s="52" t="s">
        <v>754</v>
      </c>
      <c r="D172" s="59"/>
      <c r="E172" s="52" t="s">
        <v>808</v>
      </c>
      <c r="F172" s="52" t="s">
        <v>868</v>
      </c>
      <c r="G172" s="66"/>
      <c r="H172" s="54" t="s">
        <v>1018</v>
      </c>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row>
    <row r="173" spans="1:259" ht="47" customHeight="1" x14ac:dyDescent="0.3">
      <c r="A173" s="16" t="s">
        <v>366</v>
      </c>
      <c r="B173" s="57" t="s">
        <v>149</v>
      </c>
      <c r="C173" s="52" t="s">
        <v>737</v>
      </c>
      <c r="D173" s="59"/>
      <c r="E173" s="52" t="s">
        <v>810</v>
      </c>
      <c r="F173" s="52" t="s">
        <v>868</v>
      </c>
      <c r="G173" s="66"/>
      <c r="H173" s="54" t="s">
        <v>1018</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row>
    <row r="174" spans="1:259" ht="47" customHeight="1" x14ac:dyDescent="0.3">
      <c r="A174" s="16" t="s">
        <v>367</v>
      </c>
      <c r="B174" s="57" t="s">
        <v>153</v>
      </c>
      <c r="C174" s="52" t="s">
        <v>737</v>
      </c>
      <c r="D174" s="59"/>
      <c r="E174" s="52" t="s">
        <v>810</v>
      </c>
      <c r="F174" s="52" t="s">
        <v>868</v>
      </c>
      <c r="G174" s="66"/>
      <c r="H174" s="54" t="s">
        <v>1018</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row>
    <row r="175" spans="1:259" ht="47" customHeight="1" x14ac:dyDescent="0.3">
      <c r="A175" s="16" t="s">
        <v>368</v>
      </c>
      <c r="B175" s="57" t="s">
        <v>154</v>
      </c>
      <c r="C175" s="52" t="s">
        <v>737</v>
      </c>
      <c r="D175" s="59"/>
      <c r="E175" s="52" t="s">
        <v>809</v>
      </c>
      <c r="F175" s="52" t="s">
        <v>868</v>
      </c>
      <c r="G175" s="66"/>
      <c r="H175" s="54" t="s">
        <v>1018</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row>
    <row r="176" spans="1:259" ht="47" customHeight="1" x14ac:dyDescent="0.3">
      <c r="A176" s="16" t="s">
        <v>369</v>
      </c>
      <c r="B176" s="57" t="s">
        <v>161</v>
      </c>
      <c r="C176" s="52" t="s">
        <v>737</v>
      </c>
      <c r="D176" s="59"/>
      <c r="E176" s="53"/>
      <c r="F176" s="52" t="s">
        <v>868</v>
      </c>
      <c r="G176" s="65" t="s">
        <v>889</v>
      </c>
      <c r="H176" s="54" t="s">
        <v>1018</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row>
    <row r="177" spans="1:259" ht="47" customHeight="1" x14ac:dyDescent="0.3">
      <c r="A177" s="16" t="s">
        <v>370</v>
      </c>
      <c r="B177" s="57" t="s">
        <v>160</v>
      </c>
      <c r="C177" s="52" t="s">
        <v>737</v>
      </c>
      <c r="D177" s="59"/>
      <c r="E177" s="52" t="s">
        <v>785</v>
      </c>
      <c r="F177" s="52" t="s">
        <v>868</v>
      </c>
      <c r="G177" s="65" t="s">
        <v>889</v>
      </c>
      <c r="H177" s="54" t="s">
        <v>1018</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row>
    <row r="178" spans="1:259" ht="64" customHeight="1" x14ac:dyDescent="0.3">
      <c r="A178" s="16" t="s">
        <v>371</v>
      </c>
      <c r="B178" s="57" t="s">
        <v>622</v>
      </c>
      <c r="C178" s="52" t="s">
        <v>737</v>
      </c>
      <c r="D178" s="59"/>
      <c r="E178" s="52" t="s">
        <v>809</v>
      </c>
      <c r="F178" s="52" t="s">
        <v>868</v>
      </c>
      <c r="G178" s="65" t="s">
        <v>889</v>
      </c>
      <c r="H178" s="54" t="s">
        <v>1018</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row>
    <row r="179" spans="1:259" ht="64" customHeight="1" x14ac:dyDescent="0.3">
      <c r="A179" s="16" t="s">
        <v>372</v>
      </c>
      <c r="B179" s="57" t="s">
        <v>147</v>
      </c>
      <c r="C179" s="52" t="s">
        <v>737</v>
      </c>
      <c r="D179" s="59"/>
      <c r="E179" s="52" t="s">
        <v>809</v>
      </c>
      <c r="F179" s="52" t="s">
        <v>868</v>
      </c>
      <c r="G179" s="65" t="s">
        <v>889</v>
      </c>
      <c r="H179" s="54" t="s">
        <v>1018</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row>
    <row r="180" spans="1:259" ht="48" customHeight="1" x14ac:dyDescent="0.3">
      <c r="A180" s="16" t="s">
        <v>373</v>
      </c>
      <c r="B180" s="57" t="s">
        <v>148</v>
      </c>
      <c r="C180" s="52" t="s">
        <v>737</v>
      </c>
      <c r="D180" s="59"/>
      <c r="E180" s="52" t="s">
        <v>831</v>
      </c>
      <c r="F180" s="52" t="s">
        <v>868</v>
      </c>
      <c r="G180" s="66"/>
      <c r="H180" s="54" t="s">
        <v>1018</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row>
    <row r="181" spans="1:259" ht="48" customHeight="1" x14ac:dyDescent="0.3">
      <c r="A181" s="16" t="s">
        <v>374</v>
      </c>
      <c r="B181" s="57" t="s">
        <v>709</v>
      </c>
      <c r="C181" s="52" t="s">
        <v>737</v>
      </c>
      <c r="D181" s="59"/>
      <c r="E181" s="52" t="s">
        <v>808</v>
      </c>
      <c r="F181" s="52" t="s">
        <v>868</v>
      </c>
      <c r="G181" s="65" t="s">
        <v>889</v>
      </c>
      <c r="H181" s="54" t="s">
        <v>1018</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row>
    <row r="182" spans="1:259" ht="48" customHeight="1" x14ac:dyDescent="0.3">
      <c r="A182" s="16" t="s">
        <v>375</v>
      </c>
      <c r="B182" s="57" t="s">
        <v>575</v>
      </c>
      <c r="C182" s="53"/>
      <c r="D182" s="59"/>
      <c r="E182" s="53"/>
      <c r="F182" s="53"/>
      <c r="G182" s="65" t="s">
        <v>909</v>
      </c>
      <c r="H182" s="54" t="s">
        <v>1018</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row>
    <row r="183" spans="1:259" ht="36" customHeight="1" x14ac:dyDescent="0.3">
      <c r="A183" s="79" t="str">
        <f>IF($C$10="","Firewalls, IDS, IPS, and Networking",IF($C$10="Yes","FW/IDPS/Networks - Optional based on QUALIFIER response.","Firewalls, IDS, IPS, and Networking"))</f>
        <v>Firewalls, IDS, IPS, and Networking</v>
      </c>
      <c r="B183" s="79"/>
      <c r="C183" s="51" t="str">
        <f>$C$3</f>
        <v>CIS Critical Security Controls v6.1</v>
      </c>
      <c r="D183" s="51" t="str">
        <f>$D$3</f>
        <v>HIPAA</v>
      </c>
      <c r="E183" s="51" t="str">
        <f>$E$3</f>
        <v>ISO 27002:2013</v>
      </c>
      <c r="F183" s="51" t="str">
        <f>$F$3</f>
        <v>NIST Cybersecurity Framework</v>
      </c>
      <c r="G183" s="36" t="str">
        <f>$G$3</f>
        <v>NIST SP 800-171r1</v>
      </c>
      <c r="H183" s="51" t="str">
        <f>$H$3</f>
        <v>NIST SP 800-53r4</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row>
    <row r="184" spans="1:259" ht="36" customHeight="1" x14ac:dyDescent="0.3">
      <c r="A184" s="16" t="s">
        <v>376</v>
      </c>
      <c r="B184" s="57" t="s">
        <v>44</v>
      </c>
      <c r="C184" s="52" t="s">
        <v>752</v>
      </c>
      <c r="D184" s="59"/>
      <c r="E184" s="52" t="s">
        <v>833</v>
      </c>
      <c r="F184" s="52" t="s">
        <v>967</v>
      </c>
      <c r="G184" s="66"/>
      <c r="H184" s="53"/>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row>
    <row r="185" spans="1:259" ht="36" customHeight="1" x14ac:dyDescent="0.3">
      <c r="A185" s="16" t="s">
        <v>377</v>
      </c>
      <c r="B185" s="57" t="s">
        <v>45</v>
      </c>
      <c r="C185" s="52" t="s">
        <v>752</v>
      </c>
      <c r="D185" s="59"/>
      <c r="E185" s="52" t="s">
        <v>833</v>
      </c>
      <c r="F185" s="52" t="s">
        <v>967</v>
      </c>
      <c r="G185" s="66"/>
      <c r="H185" s="53"/>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row>
    <row r="186" spans="1:259" ht="48" customHeight="1" x14ac:dyDescent="0.3">
      <c r="A186" s="16" t="s">
        <v>378</v>
      </c>
      <c r="B186" s="57" t="s">
        <v>623</v>
      </c>
      <c r="C186" s="52" t="s">
        <v>752</v>
      </c>
      <c r="D186" s="59"/>
      <c r="E186" s="52" t="s">
        <v>807</v>
      </c>
      <c r="F186" s="52" t="s">
        <v>965</v>
      </c>
      <c r="G186" s="66"/>
      <c r="H186" s="53"/>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row>
    <row r="187" spans="1:259" ht="36" customHeight="1" x14ac:dyDescent="0.3">
      <c r="A187" s="16" t="s">
        <v>379</v>
      </c>
      <c r="B187" s="57" t="s">
        <v>624</v>
      </c>
      <c r="C187" s="52" t="s">
        <v>752</v>
      </c>
      <c r="D187" s="59"/>
      <c r="E187" s="52" t="s">
        <v>814</v>
      </c>
      <c r="F187" s="52" t="s">
        <v>965</v>
      </c>
      <c r="G187" s="66"/>
      <c r="H187" s="53"/>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row>
    <row r="188" spans="1:259" ht="36" customHeight="1" x14ac:dyDescent="0.3">
      <c r="A188" s="16" t="s">
        <v>380</v>
      </c>
      <c r="B188" s="57" t="s">
        <v>141</v>
      </c>
      <c r="C188" s="52" t="s">
        <v>755</v>
      </c>
      <c r="D188" s="59"/>
      <c r="E188" s="52" t="s">
        <v>827</v>
      </c>
      <c r="F188" s="52" t="s">
        <v>968</v>
      </c>
      <c r="G188" s="65" t="s">
        <v>910</v>
      </c>
      <c r="H188" s="52" t="s">
        <v>1033</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row>
    <row r="189" spans="1:259" ht="36" customHeight="1" x14ac:dyDescent="0.3">
      <c r="A189" s="16" t="s">
        <v>381</v>
      </c>
      <c r="B189" s="57" t="s">
        <v>142</v>
      </c>
      <c r="C189" s="52" t="s">
        <v>755</v>
      </c>
      <c r="D189" s="59"/>
      <c r="E189" s="52" t="s">
        <v>827</v>
      </c>
      <c r="F189" s="52" t="s">
        <v>968</v>
      </c>
      <c r="G189" s="65" t="s">
        <v>910</v>
      </c>
      <c r="H189" s="52" t="s">
        <v>1034</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row>
    <row r="190" spans="1:259" ht="36" customHeight="1" x14ac:dyDescent="0.3">
      <c r="A190" s="16" t="s">
        <v>382</v>
      </c>
      <c r="B190" s="57" t="s">
        <v>169</v>
      </c>
      <c r="C190" s="52" t="s">
        <v>755</v>
      </c>
      <c r="D190" s="59"/>
      <c r="E190" s="52" t="s">
        <v>827</v>
      </c>
      <c r="F190" s="52" t="s">
        <v>968</v>
      </c>
      <c r="G190" s="65" t="s">
        <v>910</v>
      </c>
      <c r="H190" s="52" t="s">
        <v>1035</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row>
    <row r="191" spans="1:259" ht="36" customHeight="1" x14ac:dyDescent="0.3">
      <c r="A191" s="16" t="s">
        <v>383</v>
      </c>
      <c r="B191" s="57" t="s">
        <v>170</v>
      </c>
      <c r="C191" s="52" t="s">
        <v>755</v>
      </c>
      <c r="D191" s="59"/>
      <c r="E191" s="52" t="s">
        <v>827</v>
      </c>
      <c r="F191" s="52" t="s">
        <v>968</v>
      </c>
      <c r="G191" s="65" t="s">
        <v>910</v>
      </c>
      <c r="H191" s="52" t="s">
        <v>1036</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row>
    <row r="192" spans="1:259" ht="48" customHeight="1" x14ac:dyDescent="0.3">
      <c r="A192" s="16" t="s">
        <v>384</v>
      </c>
      <c r="B192" s="57" t="s">
        <v>530</v>
      </c>
      <c r="C192" s="52" t="s">
        <v>755</v>
      </c>
      <c r="D192" s="59"/>
      <c r="E192" s="52" t="s">
        <v>834</v>
      </c>
      <c r="F192" s="53"/>
      <c r="G192" s="65" t="s">
        <v>910</v>
      </c>
      <c r="H192" s="52" t="s">
        <v>1037</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row>
    <row r="193" spans="1:259" ht="36" customHeight="1" x14ac:dyDescent="0.3">
      <c r="A193" s="16" t="s">
        <v>385</v>
      </c>
      <c r="B193" s="57" t="s">
        <v>143</v>
      </c>
      <c r="C193" s="52" t="s">
        <v>755</v>
      </c>
      <c r="D193" s="59"/>
      <c r="E193" s="52" t="s">
        <v>834</v>
      </c>
      <c r="F193" s="52" t="s">
        <v>969</v>
      </c>
      <c r="G193" s="65" t="s">
        <v>910</v>
      </c>
      <c r="H193" s="52" t="s">
        <v>1038</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row>
    <row r="194" spans="1:259" ht="36" customHeight="1" x14ac:dyDescent="0.3">
      <c r="A194" s="16" t="s">
        <v>386</v>
      </c>
      <c r="B194" s="57" t="s">
        <v>144</v>
      </c>
      <c r="C194" s="52" t="s">
        <v>756</v>
      </c>
      <c r="D194" s="59"/>
      <c r="E194" s="52" t="s">
        <v>834</v>
      </c>
      <c r="F194" s="52" t="s">
        <v>969</v>
      </c>
      <c r="G194" s="65" t="s">
        <v>910</v>
      </c>
      <c r="H194" s="52" t="s">
        <v>1039</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row>
    <row r="195" spans="1:259" ht="36" customHeight="1" x14ac:dyDescent="0.3">
      <c r="A195" s="16" t="s">
        <v>387</v>
      </c>
      <c r="B195" s="57" t="s">
        <v>576</v>
      </c>
      <c r="C195" s="52" t="s">
        <v>747</v>
      </c>
      <c r="D195" s="59"/>
      <c r="E195" s="52" t="s">
        <v>834</v>
      </c>
      <c r="F195" s="52" t="s">
        <v>970</v>
      </c>
      <c r="G195" s="65" t="s">
        <v>911</v>
      </c>
      <c r="H195" s="52" t="s">
        <v>1040</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row>
    <row r="196" spans="1:259" ht="36" customHeight="1" x14ac:dyDescent="0.3">
      <c r="A196" s="79" t="str">
        <f>IF(OR($C$5="No",$C$10="Yes"),"Mobile Applications - Optional based on QUALIFIER response.","Mobile Applications")</f>
        <v>Mobile Applications</v>
      </c>
      <c r="B196" s="79"/>
      <c r="C196" s="51" t="str">
        <f>$C$3</f>
        <v>CIS Critical Security Controls v6.1</v>
      </c>
      <c r="D196" s="51" t="str">
        <f>$D$3</f>
        <v>HIPAA</v>
      </c>
      <c r="E196" s="51" t="str">
        <f>$E$3</f>
        <v>ISO 27002:2013</v>
      </c>
      <c r="F196" s="51" t="str">
        <f>$F$3</f>
        <v>NIST Cybersecurity Framework</v>
      </c>
      <c r="G196" s="36" t="str">
        <f>$G$3</f>
        <v>NIST SP 800-171r1</v>
      </c>
      <c r="H196" s="51" t="str">
        <f>$H$3</f>
        <v>NIST SP 800-53r4</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row>
    <row r="197" spans="1:259" ht="48" customHeight="1" x14ac:dyDescent="0.3">
      <c r="A197" s="16" t="s">
        <v>388</v>
      </c>
      <c r="B197" s="57" t="s">
        <v>74</v>
      </c>
      <c r="C197" s="52" t="s">
        <v>736</v>
      </c>
      <c r="D197" s="59"/>
      <c r="E197" s="53"/>
      <c r="F197" s="53"/>
      <c r="G197" s="67"/>
      <c r="H197" s="53"/>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row>
    <row r="198" spans="1:259" ht="47" customHeight="1" x14ac:dyDescent="0.3">
      <c r="A198" s="16" t="s">
        <v>389</v>
      </c>
      <c r="B198" s="57" t="s">
        <v>625</v>
      </c>
      <c r="C198" s="52" t="s">
        <v>751</v>
      </c>
      <c r="D198" s="59"/>
      <c r="E198" s="53"/>
      <c r="F198" s="52" t="s">
        <v>971</v>
      </c>
      <c r="G198" s="67"/>
      <c r="H198" s="53"/>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row>
    <row r="199" spans="1:259" ht="36" customHeight="1" x14ac:dyDescent="0.3">
      <c r="A199" s="16" t="s">
        <v>390</v>
      </c>
      <c r="B199" s="57" t="s">
        <v>75</v>
      </c>
      <c r="C199" s="52" t="s">
        <v>736</v>
      </c>
      <c r="D199" s="59"/>
      <c r="E199" s="53"/>
      <c r="F199" s="52" t="s">
        <v>971</v>
      </c>
      <c r="G199" s="66"/>
      <c r="H199" s="53"/>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row>
    <row r="200" spans="1:259" ht="65" customHeight="1" x14ac:dyDescent="0.3">
      <c r="A200" s="16" t="s">
        <v>391</v>
      </c>
      <c r="B200" s="57" t="s">
        <v>76</v>
      </c>
      <c r="C200" s="52" t="s">
        <v>757</v>
      </c>
      <c r="D200" s="59"/>
      <c r="E200" s="52" t="s">
        <v>835</v>
      </c>
      <c r="F200" s="52" t="s">
        <v>972</v>
      </c>
      <c r="G200" s="66"/>
      <c r="H200" s="53"/>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row>
    <row r="201" spans="1:259" ht="36" customHeight="1" x14ac:dyDescent="0.3">
      <c r="A201" s="16" t="s">
        <v>392</v>
      </c>
      <c r="B201" s="57" t="s">
        <v>710</v>
      </c>
      <c r="C201" s="52" t="s">
        <v>735</v>
      </c>
      <c r="D201" s="59"/>
      <c r="E201" s="52" t="s">
        <v>836</v>
      </c>
      <c r="F201" s="52" t="s">
        <v>972</v>
      </c>
      <c r="G201" s="65" t="s">
        <v>912</v>
      </c>
      <c r="H201" s="52" t="s">
        <v>1041</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row>
    <row r="202" spans="1:259" ht="36" customHeight="1" x14ac:dyDescent="0.3">
      <c r="A202" s="16" t="s">
        <v>393</v>
      </c>
      <c r="B202" s="57" t="s">
        <v>711</v>
      </c>
      <c r="C202" s="52" t="s">
        <v>738</v>
      </c>
      <c r="D202" s="59"/>
      <c r="E202" s="52" t="s">
        <v>836</v>
      </c>
      <c r="F202" s="52" t="s">
        <v>973</v>
      </c>
      <c r="G202" s="66"/>
      <c r="H202" s="53"/>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row>
    <row r="203" spans="1:259" ht="48" customHeight="1" x14ac:dyDescent="0.3">
      <c r="A203" s="16" t="s">
        <v>394</v>
      </c>
      <c r="B203" s="57" t="s">
        <v>77</v>
      </c>
      <c r="C203" s="52" t="s">
        <v>745</v>
      </c>
      <c r="D203" s="59"/>
      <c r="E203" s="52" t="s">
        <v>837</v>
      </c>
      <c r="F203" s="53"/>
      <c r="G203" s="66"/>
      <c r="H203" s="5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row>
    <row r="204" spans="1:259" ht="48" customHeight="1" x14ac:dyDescent="0.3">
      <c r="A204" s="16" t="s">
        <v>395</v>
      </c>
      <c r="B204" s="57" t="s">
        <v>712</v>
      </c>
      <c r="C204" s="52" t="s">
        <v>745</v>
      </c>
      <c r="D204" s="59"/>
      <c r="E204" s="53"/>
      <c r="F204" s="53"/>
      <c r="G204" s="66"/>
      <c r="H204" s="53"/>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row>
    <row r="205" spans="1:259" ht="36" customHeight="1" x14ac:dyDescent="0.3">
      <c r="A205" s="16" t="s">
        <v>396</v>
      </c>
      <c r="B205" s="57" t="s">
        <v>78</v>
      </c>
      <c r="C205" s="52" t="s">
        <v>736</v>
      </c>
      <c r="D205" s="59"/>
      <c r="E205" s="52" t="s">
        <v>789</v>
      </c>
      <c r="F205" s="52" t="s">
        <v>971</v>
      </c>
      <c r="G205" s="66"/>
      <c r="H205" s="53"/>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row>
    <row r="206" spans="1:259" ht="36" customHeight="1" x14ac:dyDescent="0.3">
      <c r="A206" s="16" t="s">
        <v>397</v>
      </c>
      <c r="B206" s="57" t="s">
        <v>79</v>
      </c>
      <c r="C206" s="52" t="s">
        <v>736</v>
      </c>
      <c r="D206" s="59"/>
      <c r="E206" s="52" t="s">
        <v>838</v>
      </c>
      <c r="F206" s="52" t="s">
        <v>974</v>
      </c>
      <c r="G206" s="66"/>
      <c r="H206" s="53"/>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row>
    <row r="207" spans="1:259" ht="48" customHeight="1" x14ac:dyDescent="0.3">
      <c r="A207" s="16" t="s">
        <v>713</v>
      </c>
      <c r="B207" s="57" t="s">
        <v>80</v>
      </c>
      <c r="C207" s="52" t="s">
        <v>736</v>
      </c>
      <c r="D207" s="59"/>
      <c r="E207" s="52" t="s">
        <v>838</v>
      </c>
      <c r="F207" s="52" t="s">
        <v>974</v>
      </c>
      <c r="G207" s="67"/>
      <c r="H207" s="53"/>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row>
    <row r="208" spans="1:259" ht="36" customHeight="1" x14ac:dyDescent="0.3">
      <c r="A208" s="79" t="str">
        <f>IF($C$10="","Physical Security",IF($C$10="Yes","Physical Security - Optional based on QUALIFIER response.","Physical Security"))</f>
        <v>Physical Security</v>
      </c>
      <c r="B208" s="79"/>
      <c r="C208" s="51" t="str">
        <f>$C$3</f>
        <v>CIS Critical Security Controls v6.1</v>
      </c>
      <c r="D208" s="51" t="str">
        <f>$D$3</f>
        <v>HIPAA</v>
      </c>
      <c r="E208" s="51" t="str">
        <f>$E$3</f>
        <v>ISO 27002:2013</v>
      </c>
      <c r="F208" s="51" t="str">
        <f>$F$3</f>
        <v>NIST Cybersecurity Framework</v>
      </c>
      <c r="G208" s="36" t="str">
        <f>$G$3</f>
        <v>NIST SP 800-171r1</v>
      </c>
      <c r="H208" s="51" t="str">
        <f>$H$3</f>
        <v>NIST SP 800-53r4</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row>
    <row r="209" spans="1:259" ht="64" customHeight="1" x14ac:dyDescent="0.3">
      <c r="A209" s="16" t="s">
        <v>398</v>
      </c>
      <c r="B209" s="57" t="s">
        <v>663</v>
      </c>
      <c r="C209" s="52" t="s">
        <v>751</v>
      </c>
      <c r="D209" s="60"/>
      <c r="E209" s="52" t="s">
        <v>826</v>
      </c>
      <c r="F209" s="52" t="s">
        <v>975</v>
      </c>
      <c r="G209" s="65" t="s">
        <v>913</v>
      </c>
      <c r="H209" s="52" t="s">
        <v>1042</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row>
    <row r="210" spans="1:259" ht="36" customHeight="1" x14ac:dyDescent="0.3">
      <c r="A210" s="16" t="s">
        <v>399</v>
      </c>
      <c r="B210" s="57" t="s">
        <v>714</v>
      </c>
      <c r="C210" s="52" t="s">
        <v>735</v>
      </c>
      <c r="D210" s="60"/>
      <c r="E210" s="52" t="s">
        <v>836</v>
      </c>
      <c r="F210" s="52" t="s">
        <v>976</v>
      </c>
      <c r="G210" s="65" t="s">
        <v>916</v>
      </c>
      <c r="H210" s="52" t="s">
        <v>1043</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row>
    <row r="211" spans="1:259" ht="36" customHeight="1" x14ac:dyDescent="0.3">
      <c r="A211" s="16" t="s">
        <v>400</v>
      </c>
      <c r="B211" s="57" t="s">
        <v>206</v>
      </c>
      <c r="C211" s="52" t="s">
        <v>751</v>
      </c>
      <c r="D211" s="60"/>
      <c r="E211" s="52" t="s">
        <v>840</v>
      </c>
      <c r="F211" s="52" t="s">
        <v>977</v>
      </c>
      <c r="G211" s="65" t="s">
        <v>914</v>
      </c>
      <c r="H211" s="52" t="s">
        <v>1044</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row>
    <row r="212" spans="1:259" ht="36" customHeight="1" x14ac:dyDescent="0.3">
      <c r="A212" s="16" t="s">
        <v>401</v>
      </c>
      <c r="B212" s="57" t="s">
        <v>52</v>
      </c>
      <c r="C212" s="52" t="s">
        <v>751</v>
      </c>
      <c r="D212" s="60"/>
      <c r="E212" s="52" t="s">
        <v>841</v>
      </c>
      <c r="F212" s="52" t="s">
        <v>977</v>
      </c>
      <c r="G212" s="65" t="s">
        <v>914</v>
      </c>
      <c r="H212" s="52" t="s">
        <v>1044</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row>
    <row r="213" spans="1:259" ht="36" customHeight="1" x14ac:dyDescent="0.3">
      <c r="A213" s="16" t="s">
        <v>402</v>
      </c>
      <c r="B213" s="57" t="s">
        <v>53</v>
      </c>
      <c r="C213" s="52" t="s">
        <v>738</v>
      </c>
      <c r="D213" s="60"/>
      <c r="E213" s="52" t="s">
        <v>839</v>
      </c>
      <c r="F213" s="52" t="s">
        <v>961</v>
      </c>
      <c r="G213" s="65" t="s">
        <v>917</v>
      </c>
      <c r="H213" s="52" t="s">
        <v>1043</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row>
    <row r="214" spans="1:259" ht="48" customHeight="1" x14ac:dyDescent="0.3">
      <c r="A214" s="16" t="s">
        <v>403</v>
      </c>
      <c r="B214" s="57" t="s">
        <v>54</v>
      </c>
      <c r="C214" s="52" t="s">
        <v>748</v>
      </c>
      <c r="D214" s="60"/>
      <c r="E214" s="52" t="s">
        <v>842</v>
      </c>
      <c r="F214" s="52" t="s">
        <v>961</v>
      </c>
      <c r="G214" s="65" t="s">
        <v>915</v>
      </c>
      <c r="H214" s="52" t="s">
        <v>1045</v>
      </c>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row>
    <row r="215" spans="1:259" ht="36" customHeight="1" x14ac:dyDescent="0.3">
      <c r="A215" s="79" t="str">
        <f>IF($C$10="","Policies, Procedures, and Processes",IF($C$10="Yes","Pol/Pro/Proc - Optional based on QUALIFIER response.","Policies, Procedures, and Processes"))</f>
        <v>Policies, Procedures, and Processes</v>
      </c>
      <c r="B215" s="79"/>
      <c r="C215" s="51" t="str">
        <f>$C$3</f>
        <v>CIS Critical Security Controls v6.1</v>
      </c>
      <c r="D215" s="51" t="str">
        <f>$D$3</f>
        <v>HIPAA</v>
      </c>
      <c r="E215" s="51" t="str">
        <f>$E$3</f>
        <v>ISO 27002:2013</v>
      </c>
      <c r="F215" s="51" t="str">
        <f>$F$3</f>
        <v>NIST Cybersecurity Framework</v>
      </c>
      <c r="G215" s="36" t="str">
        <f>$G$3</f>
        <v>NIST SP 800-171r1</v>
      </c>
      <c r="H215" s="51" t="str">
        <f>$H$3</f>
        <v>NIST SP 800-53r4</v>
      </c>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row>
    <row r="216" spans="1:259" ht="72" customHeight="1" x14ac:dyDescent="0.3">
      <c r="A216" s="16" t="s">
        <v>404</v>
      </c>
      <c r="B216" s="57" t="s">
        <v>168</v>
      </c>
      <c r="C216" s="53"/>
      <c r="D216" s="53"/>
      <c r="E216" s="52" t="s">
        <v>843</v>
      </c>
      <c r="F216" s="52" t="s">
        <v>978</v>
      </c>
      <c r="G216" s="65" t="s">
        <v>918</v>
      </c>
      <c r="H216" s="52" t="s">
        <v>1046</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row>
    <row r="217" spans="1:259" ht="36" customHeight="1" x14ac:dyDescent="0.3">
      <c r="A217" s="16" t="s">
        <v>405</v>
      </c>
      <c r="B217" s="57" t="s">
        <v>55</v>
      </c>
      <c r="C217" s="52" t="s">
        <v>758</v>
      </c>
      <c r="D217" s="53"/>
      <c r="E217" s="52" t="s">
        <v>815</v>
      </c>
      <c r="F217" s="52" t="s">
        <v>979</v>
      </c>
      <c r="G217" s="66"/>
      <c r="H217" s="52" t="s">
        <v>1047</v>
      </c>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row>
    <row r="218" spans="1:259" ht="36" customHeight="1" x14ac:dyDescent="0.3">
      <c r="A218" s="16" t="s">
        <v>406</v>
      </c>
      <c r="B218" s="57" t="s">
        <v>56</v>
      </c>
      <c r="C218" s="52" t="s">
        <v>735</v>
      </c>
      <c r="D218" s="53"/>
      <c r="E218" s="52" t="s">
        <v>851</v>
      </c>
      <c r="F218" s="53"/>
      <c r="G218" s="66"/>
      <c r="H218" s="52" t="s">
        <v>1047</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row>
    <row r="219" spans="1:259" ht="48" customHeight="1" x14ac:dyDescent="0.3">
      <c r="A219" s="16" t="s">
        <v>407</v>
      </c>
      <c r="B219" s="57" t="s">
        <v>57</v>
      </c>
      <c r="C219" s="52" t="s">
        <v>760</v>
      </c>
      <c r="D219" s="53"/>
      <c r="E219" s="52" t="s">
        <v>789</v>
      </c>
      <c r="F219" s="53"/>
      <c r="G219" s="66"/>
      <c r="H219" s="52" t="s">
        <v>1047</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row>
    <row r="220" spans="1:259" ht="48" customHeight="1" x14ac:dyDescent="0.3">
      <c r="A220" s="16" t="s">
        <v>408</v>
      </c>
      <c r="B220" s="57" t="s">
        <v>58</v>
      </c>
      <c r="C220" s="52" t="s">
        <v>758</v>
      </c>
      <c r="D220" s="53"/>
      <c r="E220" s="52" t="s">
        <v>789</v>
      </c>
      <c r="F220" s="53"/>
      <c r="G220" s="66"/>
      <c r="H220" s="52" t="s">
        <v>1047</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row>
    <row r="221" spans="1:259" ht="48" customHeight="1" x14ac:dyDescent="0.3">
      <c r="A221" s="16" t="s">
        <v>409</v>
      </c>
      <c r="B221" s="57" t="s">
        <v>59</v>
      </c>
      <c r="C221" s="52" t="s">
        <v>758</v>
      </c>
      <c r="D221" s="53"/>
      <c r="E221" s="52" t="s">
        <v>852</v>
      </c>
      <c r="F221" s="52" t="s">
        <v>980</v>
      </c>
      <c r="G221" s="66"/>
      <c r="H221" s="52" t="s">
        <v>1047</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row>
    <row r="222" spans="1:259" ht="84" customHeight="1" x14ac:dyDescent="0.3">
      <c r="A222" s="16" t="s">
        <v>410</v>
      </c>
      <c r="B222" s="57" t="s">
        <v>531</v>
      </c>
      <c r="C222" s="52" t="s">
        <v>758</v>
      </c>
      <c r="D222" s="53"/>
      <c r="E222" s="52" t="s">
        <v>844</v>
      </c>
      <c r="F222" s="52" t="s">
        <v>981</v>
      </c>
      <c r="G222" s="65" t="s">
        <v>889</v>
      </c>
      <c r="H222" s="52" t="s">
        <v>1047</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row>
    <row r="223" spans="1:259" ht="48" customHeight="1" x14ac:dyDescent="0.3">
      <c r="A223" s="16" t="s">
        <v>411</v>
      </c>
      <c r="B223" s="57" t="s">
        <v>60</v>
      </c>
      <c r="C223" s="52" t="s">
        <v>758</v>
      </c>
      <c r="D223" s="53"/>
      <c r="E223" s="52" t="s">
        <v>789</v>
      </c>
      <c r="F223" s="53"/>
      <c r="G223" s="65" t="s">
        <v>919</v>
      </c>
      <c r="H223" s="52" t="s">
        <v>1047</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row>
    <row r="224" spans="1:259" ht="36" customHeight="1" x14ac:dyDescent="0.3">
      <c r="A224" s="16" t="s">
        <v>412</v>
      </c>
      <c r="B224" s="57" t="s">
        <v>61</v>
      </c>
      <c r="C224" s="52" t="s">
        <v>758</v>
      </c>
      <c r="D224" s="53"/>
      <c r="E224" s="52" t="s">
        <v>789</v>
      </c>
      <c r="F224" s="52" t="s">
        <v>982</v>
      </c>
      <c r="G224" s="66"/>
      <c r="H224" s="52" t="s">
        <v>1048</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row>
    <row r="225" spans="1:259" ht="64" customHeight="1" x14ac:dyDescent="0.3">
      <c r="A225" s="16" t="s">
        <v>413</v>
      </c>
      <c r="B225" s="57" t="s">
        <v>532</v>
      </c>
      <c r="C225" s="52" t="s">
        <v>758</v>
      </c>
      <c r="D225" s="53"/>
      <c r="E225" s="52" t="s">
        <v>789</v>
      </c>
      <c r="F225" s="52" t="s">
        <v>982</v>
      </c>
      <c r="G225" s="66"/>
      <c r="H225" s="52" t="s">
        <v>1048</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row>
    <row r="226" spans="1:259" ht="36" customHeight="1" x14ac:dyDescent="0.3">
      <c r="A226" s="16" t="s">
        <v>414</v>
      </c>
      <c r="B226" s="57" t="s">
        <v>62</v>
      </c>
      <c r="C226" s="52" t="s">
        <v>755</v>
      </c>
      <c r="D226" s="53"/>
      <c r="E226" s="52" t="s">
        <v>845</v>
      </c>
      <c r="F226" s="52" t="s">
        <v>868</v>
      </c>
      <c r="G226" s="65" t="s">
        <v>920</v>
      </c>
      <c r="H226" s="52" t="s">
        <v>1049</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row>
    <row r="227" spans="1:259" ht="36" customHeight="1" x14ac:dyDescent="0.3">
      <c r="A227" s="16" t="s">
        <v>415</v>
      </c>
      <c r="B227" s="57" t="s">
        <v>131</v>
      </c>
      <c r="C227" s="52" t="s">
        <v>755</v>
      </c>
      <c r="D227" s="53"/>
      <c r="E227" s="52" t="s">
        <v>784</v>
      </c>
      <c r="F227" s="52" t="s">
        <v>866</v>
      </c>
      <c r="G227" s="65" t="s">
        <v>921</v>
      </c>
      <c r="H227" s="52" t="s">
        <v>1050</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row>
    <row r="228" spans="1:259" ht="48" customHeight="1" x14ac:dyDescent="0.3">
      <c r="A228" s="16" t="s">
        <v>416</v>
      </c>
      <c r="B228" s="57" t="s">
        <v>715</v>
      </c>
      <c r="C228" s="52" t="s">
        <v>735</v>
      </c>
      <c r="D228" s="53"/>
      <c r="E228" s="52" t="s">
        <v>784</v>
      </c>
      <c r="F228" s="53"/>
      <c r="G228" s="65" t="s">
        <v>909</v>
      </c>
      <c r="H228" s="52" t="s">
        <v>1051</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row>
    <row r="229" spans="1:259" ht="36" customHeight="1" x14ac:dyDescent="0.3">
      <c r="A229" s="16" t="s">
        <v>417</v>
      </c>
      <c r="B229" s="57" t="s">
        <v>63</v>
      </c>
      <c r="C229" s="52" t="s">
        <v>755</v>
      </c>
      <c r="D229" s="53"/>
      <c r="E229" s="52" t="s">
        <v>784</v>
      </c>
      <c r="F229" s="52" t="s">
        <v>866</v>
      </c>
      <c r="G229" s="66"/>
      <c r="H229" s="52" t="s">
        <v>1047</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row>
    <row r="230" spans="1:259" ht="48" customHeight="1" x14ac:dyDescent="0.3">
      <c r="A230" s="16" t="s">
        <v>418</v>
      </c>
      <c r="B230" s="57" t="s">
        <v>577</v>
      </c>
      <c r="C230" s="52" t="s">
        <v>744</v>
      </c>
      <c r="D230" s="53"/>
      <c r="E230" s="52" t="s">
        <v>846</v>
      </c>
      <c r="F230" s="52" t="s">
        <v>983</v>
      </c>
      <c r="G230" s="65" t="s">
        <v>922</v>
      </c>
      <c r="H230" s="52" t="s">
        <v>1052</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row>
    <row r="231" spans="1:259" ht="36" customHeight="1" x14ac:dyDescent="0.3">
      <c r="A231" s="16" t="s">
        <v>419</v>
      </c>
      <c r="B231" s="57" t="s">
        <v>64</v>
      </c>
      <c r="C231" s="52" t="s">
        <v>759</v>
      </c>
      <c r="D231" s="53"/>
      <c r="E231" s="52" t="s">
        <v>847</v>
      </c>
      <c r="F231" s="52" t="s">
        <v>983</v>
      </c>
      <c r="G231" s="66"/>
      <c r="H231" s="52" t="s">
        <v>1047</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row>
    <row r="232" spans="1:259" ht="65" customHeight="1" x14ac:dyDescent="0.3">
      <c r="A232" s="16" t="s">
        <v>420</v>
      </c>
      <c r="B232" s="57" t="s">
        <v>155</v>
      </c>
      <c r="C232" s="52" t="s">
        <v>759</v>
      </c>
      <c r="D232" s="53"/>
      <c r="E232" s="52" t="s">
        <v>847</v>
      </c>
      <c r="F232" s="52" t="s">
        <v>983</v>
      </c>
      <c r="G232" s="66"/>
      <c r="H232" s="52" t="s">
        <v>1047</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row>
    <row r="233" spans="1:259" ht="48" customHeight="1" x14ac:dyDescent="0.3">
      <c r="A233" s="16" t="s">
        <v>421</v>
      </c>
      <c r="B233" s="57" t="s">
        <v>65</v>
      </c>
      <c r="C233" s="52" t="s">
        <v>759</v>
      </c>
      <c r="D233" s="52" t="s">
        <v>767</v>
      </c>
      <c r="E233" s="52" t="s">
        <v>843</v>
      </c>
      <c r="F233" s="52" t="s">
        <v>866</v>
      </c>
      <c r="G233" s="66"/>
      <c r="H233" s="52" t="s">
        <v>1047</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row>
    <row r="234" spans="1:259" ht="48" customHeight="1" x14ac:dyDescent="0.3">
      <c r="A234" s="16" t="s">
        <v>422</v>
      </c>
      <c r="B234" s="57" t="s">
        <v>66</v>
      </c>
      <c r="C234" s="52" t="s">
        <v>759</v>
      </c>
      <c r="D234" s="52" t="s">
        <v>769</v>
      </c>
      <c r="E234" s="52" t="s">
        <v>848</v>
      </c>
      <c r="F234" s="52" t="s">
        <v>984</v>
      </c>
      <c r="G234" s="65" t="s">
        <v>923</v>
      </c>
      <c r="H234" s="52" t="s">
        <v>1053</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row>
    <row r="235" spans="1:259" ht="48" customHeight="1" x14ac:dyDescent="0.3">
      <c r="A235" s="16" t="s">
        <v>423</v>
      </c>
      <c r="B235" s="57" t="s">
        <v>67</v>
      </c>
      <c r="C235" s="52" t="s">
        <v>759</v>
      </c>
      <c r="D235" s="52" t="s">
        <v>769</v>
      </c>
      <c r="E235" s="52" t="s">
        <v>848</v>
      </c>
      <c r="F235" s="52" t="s">
        <v>984</v>
      </c>
      <c r="G235" s="65" t="s">
        <v>924</v>
      </c>
      <c r="H235" s="52" t="s">
        <v>1054</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row>
    <row r="236" spans="1:259" ht="48" customHeight="1" x14ac:dyDescent="0.3">
      <c r="A236" s="16" t="s">
        <v>424</v>
      </c>
      <c r="B236" s="57" t="s">
        <v>68</v>
      </c>
      <c r="C236" s="52" t="s">
        <v>759</v>
      </c>
      <c r="D236" s="52" t="s">
        <v>769</v>
      </c>
      <c r="E236" s="52" t="s">
        <v>848</v>
      </c>
      <c r="F236" s="52" t="s">
        <v>984</v>
      </c>
      <c r="G236" s="66"/>
      <c r="H236" s="52" t="s">
        <v>1047</v>
      </c>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row>
    <row r="237" spans="1:259" ht="48" customHeight="1" x14ac:dyDescent="0.3">
      <c r="A237" s="16" t="s">
        <v>425</v>
      </c>
      <c r="B237" s="57" t="s">
        <v>171</v>
      </c>
      <c r="C237" s="52" t="s">
        <v>759</v>
      </c>
      <c r="D237" s="53"/>
      <c r="E237" s="52" t="s">
        <v>849</v>
      </c>
      <c r="F237" s="52" t="s">
        <v>943</v>
      </c>
      <c r="G237" s="65" t="s">
        <v>925</v>
      </c>
      <c r="H237" s="52" t="s">
        <v>1047</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row>
    <row r="238" spans="1:259" ht="70" customHeight="1" x14ac:dyDescent="0.3">
      <c r="A238" s="16" t="s">
        <v>426</v>
      </c>
      <c r="B238" s="57" t="s">
        <v>716</v>
      </c>
      <c r="C238" s="53"/>
      <c r="D238" s="53"/>
      <c r="E238" s="52" t="s">
        <v>850</v>
      </c>
      <c r="F238" s="53"/>
      <c r="G238" s="66"/>
      <c r="H238" s="52" t="s">
        <v>1055</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row>
    <row r="239" spans="1:259" ht="36" customHeight="1" x14ac:dyDescent="0.3">
      <c r="A239" s="79" t="str">
        <f>IF($C$10="","Product Evaluation",IF($C$10="Yes","Product Evaluation - Optional based on QUALIFIER response.","Product Evaluation"))</f>
        <v>Product Evaluation</v>
      </c>
      <c r="B239" s="79"/>
      <c r="C239" s="51" t="str">
        <f>$C$3</f>
        <v>CIS Critical Security Controls v6.1</v>
      </c>
      <c r="D239" s="51" t="str">
        <f>$D$3</f>
        <v>HIPAA</v>
      </c>
      <c r="E239" s="51" t="str">
        <f>$E$3</f>
        <v>ISO 27002:2013</v>
      </c>
      <c r="F239" s="51" t="str">
        <f>$F$3</f>
        <v>NIST Cybersecurity Framework</v>
      </c>
      <c r="G239" s="36" t="str">
        <f>$G$3</f>
        <v>NIST SP 800-171r1</v>
      </c>
      <c r="H239" s="51" t="str">
        <f>$H$3</f>
        <v>NIST SP 800-53r4</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row>
    <row r="240" spans="1:259" ht="48" customHeight="1" x14ac:dyDescent="0.3">
      <c r="A240" s="16" t="s">
        <v>427</v>
      </c>
      <c r="B240" s="57" t="s">
        <v>69</v>
      </c>
      <c r="C240" s="53"/>
      <c r="D240" s="59"/>
      <c r="E240" s="59"/>
      <c r="F240" s="53"/>
      <c r="G240" s="66"/>
      <c r="H240" s="59"/>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row>
    <row r="241" spans="1:259" ht="36" customHeight="1" x14ac:dyDescent="0.3">
      <c r="A241" s="16" t="s">
        <v>428</v>
      </c>
      <c r="B241" s="57" t="s">
        <v>664</v>
      </c>
      <c r="C241" s="53"/>
      <c r="D241" s="59"/>
      <c r="E241" s="59"/>
      <c r="F241" s="52" t="s">
        <v>981</v>
      </c>
      <c r="G241" s="66"/>
      <c r="H241" s="59"/>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row>
    <row r="242" spans="1:259" ht="36" customHeight="1" x14ac:dyDescent="0.3">
      <c r="A242" s="79" t="str">
        <f>IF($C$10="","Quality Assurance",IF($C$10="Yes","Quality Assurance - Optional based on QUALIFIER response.","Quality Assurance"))</f>
        <v>Quality Assurance</v>
      </c>
      <c r="B242" s="79"/>
      <c r="C242" s="51" t="str">
        <f>$C$3</f>
        <v>CIS Critical Security Controls v6.1</v>
      </c>
      <c r="D242" s="51" t="str">
        <f>$D$3</f>
        <v>HIPAA</v>
      </c>
      <c r="E242" s="51" t="str">
        <f>$E$3</f>
        <v>ISO 27002:2013</v>
      </c>
      <c r="F242" s="51" t="str">
        <f>$F$3</f>
        <v>NIST Cybersecurity Framework</v>
      </c>
      <c r="G242" s="36" t="str">
        <f>$G$3</f>
        <v>NIST SP 800-171r1</v>
      </c>
      <c r="H242" s="51" t="str">
        <f>$H$3</f>
        <v>NIST SP 800-53r4</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row>
    <row r="243" spans="1:259" ht="48" customHeight="1" x14ac:dyDescent="0.3">
      <c r="A243" s="16" t="s">
        <v>429</v>
      </c>
      <c r="B243" s="57" t="s">
        <v>205</v>
      </c>
      <c r="C243" s="52" t="s">
        <v>735</v>
      </c>
      <c r="D243" s="59"/>
      <c r="E243" s="59"/>
      <c r="F243" s="59"/>
      <c r="G243" s="67"/>
      <c r="H243" s="59"/>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row>
    <row r="244" spans="1:259" ht="36" customHeight="1" x14ac:dyDescent="0.3">
      <c r="A244" s="16" t="s">
        <v>430</v>
      </c>
      <c r="B244" s="57" t="s">
        <v>196</v>
      </c>
      <c r="C244" s="52" t="s">
        <v>735</v>
      </c>
      <c r="D244" s="59"/>
      <c r="E244" s="52" t="s">
        <v>784</v>
      </c>
      <c r="F244" s="53"/>
      <c r="G244" s="66"/>
      <c r="H244" s="59"/>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row>
    <row r="245" spans="1:259" ht="53" customHeight="1" x14ac:dyDescent="0.3">
      <c r="A245" s="16" t="s">
        <v>431</v>
      </c>
      <c r="B245" s="57" t="s">
        <v>197</v>
      </c>
      <c r="C245" s="52" t="s">
        <v>735</v>
      </c>
      <c r="D245" s="59"/>
      <c r="E245" s="59"/>
      <c r="F245" s="53"/>
      <c r="G245" s="66"/>
      <c r="H245" s="59"/>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row>
    <row r="246" spans="1:259" ht="53" customHeight="1" x14ac:dyDescent="0.3">
      <c r="A246" s="16" t="s">
        <v>432</v>
      </c>
      <c r="B246" s="57" t="s">
        <v>665</v>
      </c>
      <c r="C246" s="53"/>
      <c r="D246" s="59"/>
      <c r="E246" s="59"/>
      <c r="F246" s="53"/>
      <c r="G246" s="66"/>
      <c r="H246" s="59"/>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row>
    <row r="247" spans="1:259" ht="48" customHeight="1" x14ac:dyDescent="0.3">
      <c r="A247" s="16" t="s">
        <v>433</v>
      </c>
      <c r="B247" s="57" t="s">
        <v>198</v>
      </c>
      <c r="C247" s="52" t="s">
        <v>759</v>
      </c>
      <c r="D247" s="59"/>
      <c r="E247" s="59"/>
      <c r="F247" s="53"/>
      <c r="G247" s="66"/>
      <c r="H247" s="59"/>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row>
    <row r="248" spans="1:259" ht="36" customHeight="1" x14ac:dyDescent="0.3">
      <c r="A248" s="79" t="str">
        <f>IF($C$10="","Systems Management &amp; Configuration",IF($C$10="Yes","System Mgmt/Config - Optional based on QUALIFIER response.","Systems Management &amp; Configuration"))</f>
        <v>Systems Management &amp; Configuration</v>
      </c>
      <c r="B248" s="79"/>
      <c r="C248" s="51" t="str">
        <f>$C$3</f>
        <v>CIS Critical Security Controls v6.1</v>
      </c>
      <c r="D248" s="51" t="str">
        <f>$D$3</f>
        <v>HIPAA</v>
      </c>
      <c r="E248" s="51" t="str">
        <f>$E$3</f>
        <v>ISO 27002:2013</v>
      </c>
      <c r="F248" s="51" t="str">
        <f>$F$3</f>
        <v>NIST Cybersecurity Framework</v>
      </c>
      <c r="G248" s="36" t="str">
        <f>$G$3</f>
        <v>NIST SP 800-171r1</v>
      </c>
      <c r="H248" s="51" t="str">
        <f>$H$3</f>
        <v>NIST SP 800-53r4</v>
      </c>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row>
    <row r="249" spans="1:259" ht="49" customHeight="1" x14ac:dyDescent="0.3">
      <c r="A249" s="16" t="s">
        <v>434</v>
      </c>
      <c r="B249" s="57" t="s">
        <v>211</v>
      </c>
      <c r="C249" s="52" t="s">
        <v>741</v>
      </c>
      <c r="D249" s="53"/>
      <c r="E249" s="52" t="s">
        <v>833</v>
      </c>
      <c r="F249" s="52" t="s">
        <v>985</v>
      </c>
      <c r="G249" s="65" t="s">
        <v>908</v>
      </c>
      <c r="H249" s="52" t="s">
        <v>1000</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row>
    <row r="250" spans="1:259" ht="48" customHeight="1" x14ac:dyDescent="0.3">
      <c r="A250" s="16" t="s">
        <v>435</v>
      </c>
      <c r="B250" s="57" t="s">
        <v>717</v>
      </c>
      <c r="C250" s="52" t="s">
        <v>751</v>
      </c>
      <c r="D250" s="53"/>
      <c r="E250" s="53"/>
      <c r="F250" s="52" t="s">
        <v>986</v>
      </c>
      <c r="G250" s="65" t="s">
        <v>926</v>
      </c>
      <c r="H250" s="52" t="s">
        <v>1056</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row>
    <row r="251" spans="1:259" ht="48" customHeight="1" x14ac:dyDescent="0.3">
      <c r="A251" s="16" t="s">
        <v>436</v>
      </c>
      <c r="B251" s="57" t="s">
        <v>212</v>
      </c>
      <c r="C251" s="52" t="s">
        <v>751</v>
      </c>
      <c r="D251" s="53"/>
      <c r="E251" s="52" t="s">
        <v>853</v>
      </c>
      <c r="F251" s="53"/>
      <c r="G251" s="65" t="s">
        <v>927</v>
      </c>
      <c r="H251" s="53"/>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row>
    <row r="252" spans="1:259" ht="64" customHeight="1" x14ac:dyDescent="0.3">
      <c r="A252" s="16" t="s">
        <v>437</v>
      </c>
      <c r="B252" s="57" t="s">
        <v>213</v>
      </c>
      <c r="C252" s="52" t="s">
        <v>751</v>
      </c>
      <c r="D252" s="53"/>
      <c r="E252" s="52" t="s">
        <v>797</v>
      </c>
      <c r="F252" s="52" t="s">
        <v>987</v>
      </c>
      <c r="G252" s="65" t="s">
        <v>928</v>
      </c>
      <c r="H252" s="52" t="s">
        <v>1057</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row>
    <row r="253" spans="1:259" ht="36" customHeight="1" x14ac:dyDescent="0.3">
      <c r="A253" s="79" t="str">
        <f>IF($C$10="","Vulnerability Scanning",IF($C$10="Yes","Vulnerability Scanning - Optional based on QUALIFIER response.","Vulnerability Scanning"))</f>
        <v>Vulnerability Scanning</v>
      </c>
      <c r="B253" s="79"/>
      <c r="C253" s="51" t="str">
        <f>$C$3</f>
        <v>CIS Critical Security Controls v6.1</v>
      </c>
      <c r="D253" s="51" t="str">
        <f>$D$3</f>
        <v>HIPAA</v>
      </c>
      <c r="E253" s="51" t="str">
        <f>$E$3</f>
        <v>ISO 27002:2013</v>
      </c>
      <c r="F253" s="51" t="str">
        <f>$F$3</f>
        <v>NIST Cybersecurity Framework</v>
      </c>
      <c r="G253" s="36" t="str">
        <f>$G$3</f>
        <v>NIST SP 800-171r1</v>
      </c>
      <c r="H253" s="51" t="str">
        <f>$H$3</f>
        <v>NIST SP 800-53r4</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row>
    <row r="254" spans="1:259" ht="36" customHeight="1" x14ac:dyDescent="0.3">
      <c r="A254" s="16" t="s">
        <v>438</v>
      </c>
      <c r="B254" s="57" t="s">
        <v>70</v>
      </c>
      <c r="C254" s="52" t="s">
        <v>758</v>
      </c>
      <c r="D254" s="59"/>
      <c r="E254" s="52" t="s">
        <v>815</v>
      </c>
      <c r="F254" s="52" t="s">
        <v>988</v>
      </c>
      <c r="G254" s="65" t="s">
        <v>929</v>
      </c>
      <c r="H254" s="52" t="s">
        <v>1058</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row>
    <row r="255" spans="1:259" ht="36" customHeight="1" x14ac:dyDescent="0.3">
      <c r="A255" s="16" t="s">
        <v>439</v>
      </c>
      <c r="B255" s="57" t="s">
        <v>71</v>
      </c>
      <c r="C255" s="52" t="s">
        <v>758</v>
      </c>
      <c r="D255" s="59"/>
      <c r="E255" s="52" t="s">
        <v>815</v>
      </c>
      <c r="F255" s="52" t="s">
        <v>988</v>
      </c>
      <c r="G255" s="65" t="s">
        <v>929</v>
      </c>
      <c r="H255" s="52" t="s">
        <v>1058</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row>
    <row r="256" spans="1:259" ht="65" customHeight="1" x14ac:dyDescent="0.3">
      <c r="A256" s="16" t="s">
        <v>440</v>
      </c>
      <c r="B256" s="57" t="s">
        <v>72</v>
      </c>
      <c r="C256" s="52" t="s">
        <v>758</v>
      </c>
      <c r="D256" s="59"/>
      <c r="E256" s="53"/>
      <c r="F256" s="52" t="s">
        <v>988</v>
      </c>
      <c r="G256" s="65" t="s">
        <v>929</v>
      </c>
      <c r="H256" s="52" t="s">
        <v>1058</v>
      </c>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row>
    <row r="257" spans="1:259" ht="49" customHeight="1" x14ac:dyDescent="0.3">
      <c r="A257" s="16" t="s">
        <v>441</v>
      </c>
      <c r="B257" s="57" t="s">
        <v>73</v>
      </c>
      <c r="C257" s="52" t="s">
        <v>758</v>
      </c>
      <c r="D257" s="59"/>
      <c r="E257" s="53"/>
      <c r="F257" s="52" t="s">
        <v>988</v>
      </c>
      <c r="G257" s="65" t="s">
        <v>929</v>
      </c>
      <c r="H257" s="52" t="s">
        <v>1058</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row>
    <row r="258" spans="1:259" ht="36" customHeight="1" x14ac:dyDescent="0.3">
      <c r="A258" s="16" t="s">
        <v>442</v>
      </c>
      <c r="B258" s="57" t="s">
        <v>604</v>
      </c>
      <c r="C258" s="52" t="s">
        <v>758</v>
      </c>
      <c r="D258" s="59"/>
      <c r="E258" s="53"/>
      <c r="F258" s="52" t="s">
        <v>988</v>
      </c>
      <c r="G258" s="66"/>
      <c r="H258" s="52" t="s">
        <v>1058</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row>
    <row r="259" spans="1:259" ht="65" customHeight="1" x14ac:dyDescent="0.3">
      <c r="A259" s="16" t="s">
        <v>443</v>
      </c>
      <c r="B259" s="57" t="s">
        <v>533</v>
      </c>
      <c r="C259" s="52" t="s">
        <v>758</v>
      </c>
      <c r="D259" s="59"/>
      <c r="E259" s="53"/>
      <c r="F259" s="52" t="s">
        <v>988</v>
      </c>
      <c r="G259" s="65" t="s">
        <v>929</v>
      </c>
      <c r="H259" s="52" t="s">
        <v>1058</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row>
    <row r="260" spans="1:259" ht="36" customHeight="1" x14ac:dyDescent="0.3">
      <c r="A260" s="16" t="s">
        <v>444</v>
      </c>
      <c r="B260" s="57" t="s">
        <v>718</v>
      </c>
      <c r="C260" s="52" t="s">
        <v>758</v>
      </c>
      <c r="D260" s="59"/>
      <c r="E260" s="53"/>
      <c r="F260" s="52" t="s">
        <v>988</v>
      </c>
      <c r="G260" s="66"/>
      <c r="H260" s="52" t="s">
        <v>1058</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row>
    <row r="261" spans="1:259" ht="65" customHeight="1" x14ac:dyDescent="0.3">
      <c r="A261" s="16" t="s">
        <v>445</v>
      </c>
      <c r="B261" s="57" t="s">
        <v>534</v>
      </c>
      <c r="C261" s="52" t="s">
        <v>762</v>
      </c>
      <c r="D261" s="59"/>
      <c r="E261" s="52" t="s">
        <v>815</v>
      </c>
      <c r="F261" s="52" t="s">
        <v>989</v>
      </c>
      <c r="G261" s="65" t="s">
        <v>930</v>
      </c>
      <c r="H261" s="52" t="s">
        <v>1058</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row>
    <row r="262" spans="1:259" ht="54" customHeight="1" x14ac:dyDescent="0.3">
      <c r="A262" s="16" t="s">
        <v>446</v>
      </c>
      <c r="B262" s="57" t="s">
        <v>666</v>
      </c>
      <c r="C262" s="52" t="s">
        <v>761</v>
      </c>
      <c r="D262" s="59"/>
      <c r="E262" s="52" t="s">
        <v>854</v>
      </c>
      <c r="F262" s="52" t="s">
        <v>988</v>
      </c>
      <c r="G262" s="65" t="s">
        <v>929</v>
      </c>
      <c r="H262" s="52" t="s">
        <v>1058</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row>
    <row r="263" spans="1:259" ht="36" customHeight="1" x14ac:dyDescent="0.3">
      <c r="A263" s="79" t="str">
        <f>IF(OR($C$4="No",$C$10="Yes"),"HIPAA - Optional based on QUALIFIER response.","HIPAA")</f>
        <v>HIPAA</v>
      </c>
      <c r="B263" s="79"/>
      <c r="C263" s="51" t="str">
        <f>$C$3</f>
        <v>CIS Critical Security Controls v6.1</v>
      </c>
      <c r="D263" s="51" t="str">
        <f>$D$3</f>
        <v>HIPAA</v>
      </c>
      <c r="E263" s="51" t="str">
        <f>$E$3</f>
        <v>ISO 27002:2013</v>
      </c>
      <c r="F263" s="51" t="str">
        <f>$F$3</f>
        <v>NIST Cybersecurity Framework</v>
      </c>
      <c r="G263" s="36" t="str">
        <f>$G$3</f>
        <v>NIST SP 800-171r1</v>
      </c>
      <c r="H263" s="51" t="str">
        <f>$H$3</f>
        <v>NIST SP 800-53r4</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row>
    <row r="264" spans="1:259" ht="65" customHeight="1" x14ac:dyDescent="0.3">
      <c r="A264" s="16" t="s">
        <v>447</v>
      </c>
      <c r="B264" s="57" t="s">
        <v>179</v>
      </c>
      <c r="C264" s="52" t="s">
        <v>759</v>
      </c>
      <c r="D264" s="52" t="s">
        <v>769</v>
      </c>
      <c r="E264" s="52" t="s">
        <v>857</v>
      </c>
      <c r="F264" s="52" t="s">
        <v>866</v>
      </c>
      <c r="G264" s="65" t="s">
        <v>931</v>
      </c>
      <c r="H264" s="52" t="s">
        <v>1059</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row>
    <row r="265" spans="1:259" ht="48" customHeight="1" x14ac:dyDescent="0.3">
      <c r="A265" s="16" t="s">
        <v>448</v>
      </c>
      <c r="B265" s="57" t="s">
        <v>180</v>
      </c>
      <c r="C265" s="52" t="s">
        <v>735</v>
      </c>
      <c r="D265" s="52" t="s">
        <v>770</v>
      </c>
      <c r="E265" s="52" t="s">
        <v>784</v>
      </c>
      <c r="F265" s="52" t="s">
        <v>866</v>
      </c>
      <c r="G265" s="66"/>
      <c r="H265" s="53"/>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row>
    <row r="266" spans="1:259" ht="48" customHeight="1" x14ac:dyDescent="0.3">
      <c r="A266" s="16" t="s">
        <v>449</v>
      </c>
      <c r="B266" s="57" t="s">
        <v>181</v>
      </c>
      <c r="C266" s="52" t="s">
        <v>759</v>
      </c>
      <c r="D266" s="52" t="s">
        <v>771</v>
      </c>
      <c r="E266" s="52" t="s">
        <v>784</v>
      </c>
      <c r="F266" s="52" t="s">
        <v>866</v>
      </c>
      <c r="G266" s="66"/>
      <c r="H266" s="53"/>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row>
    <row r="267" spans="1:259" ht="48" customHeight="1" x14ac:dyDescent="0.3">
      <c r="A267" s="16" t="s">
        <v>450</v>
      </c>
      <c r="B267" s="57" t="s">
        <v>182</v>
      </c>
      <c r="C267" s="52" t="s">
        <v>735</v>
      </c>
      <c r="D267" s="53"/>
      <c r="E267" s="52" t="s">
        <v>784</v>
      </c>
      <c r="F267" s="52" t="s">
        <v>866</v>
      </c>
      <c r="G267" s="66"/>
      <c r="H267" s="53"/>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row>
    <row r="268" spans="1:259" ht="48" customHeight="1" x14ac:dyDescent="0.3">
      <c r="A268" s="16" t="s">
        <v>451</v>
      </c>
      <c r="B268" s="57" t="s">
        <v>183</v>
      </c>
      <c r="C268" s="52" t="s">
        <v>755</v>
      </c>
      <c r="D268" s="52" t="s">
        <v>772</v>
      </c>
      <c r="E268" s="52" t="s">
        <v>855</v>
      </c>
      <c r="F268" s="52" t="s">
        <v>866</v>
      </c>
      <c r="G268" s="65" t="s">
        <v>932</v>
      </c>
      <c r="H268" s="52" t="s">
        <v>1060</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row>
    <row r="269" spans="1:259" ht="48" customHeight="1" x14ac:dyDescent="0.3">
      <c r="A269" s="16" t="s">
        <v>452</v>
      </c>
      <c r="B269" s="57" t="s">
        <v>184</v>
      </c>
      <c r="C269" s="52" t="s">
        <v>755</v>
      </c>
      <c r="D269" s="52" t="s">
        <v>859</v>
      </c>
      <c r="E269" s="52" t="s">
        <v>858</v>
      </c>
      <c r="F269" s="52" t="s">
        <v>866</v>
      </c>
      <c r="G269" s="65" t="s">
        <v>933</v>
      </c>
      <c r="H269" s="52" t="s">
        <v>1061</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row>
    <row r="270" spans="1:259" ht="48" customHeight="1" x14ac:dyDescent="0.3">
      <c r="A270" s="16" t="s">
        <v>453</v>
      </c>
      <c r="B270" s="57" t="s">
        <v>185</v>
      </c>
      <c r="C270" s="52" t="s">
        <v>735</v>
      </c>
      <c r="D270" s="52" t="s">
        <v>767</v>
      </c>
      <c r="E270" s="53"/>
      <c r="F270" s="52" t="s">
        <v>866</v>
      </c>
      <c r="G270" s="66"/>
      <c r="H270" s="53"/>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c r="IY270"/>
    </row>
    <row r="271" spans="1:259" ht="48" customHeight="1" x14ac:dyDescent="0.3">
      <c r="A271" s="16" t="s">
        <v>454</v>
      </c>
      <c r="B271" s="57" t="s">
        <v>186</v>
      </c>
      <c r="C271" s="52" t="s">
        <v>758</v>
      </c>
      <c r="D271" s="52" t="s">
        <v>779</v>
      </c>
      <c r="E271" s="53"/>
      <c r="F271" s="52" t="s">
        <v>866</v>
      </c>
      <c r="G271" s="66"/>
      <c r="H271" s="53"/>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row>
    <row r="272" spans="1:259" ht="48" customHeight="1" x14ac:dyDescent="0.3">
      <c r="A272" s="16" t="s">
        <v>455</v>
      </c>
      <c r="B272" s="57" t="s">
        <v>187</v>
      </c>
      <c r="C272" s="52" t="s">
        <v>758</v>
      </c>
      <c r="D272" s="52" t="s">
        <v>768</v>
      </c>
      <c r="E272" s="53"/>
      <c r="F272" s="52" t="s">
        <v>866</v>
      </c>
      <c r="G272" s="66"/>
      <c r="H272" s="53"/>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row>
    <row r="273" spans="1:259" ht="48" customHeight="1" x14ac:dyDescent="0.3">
      <c r="A273" s="16" t="s">
        <v>456</v>
      </c>
      <c r="B273" s="57" t="s">
        <v>81</v>
      </c>
      <c r="C273" s="52" t="s">
        <v>745</v>
      </c>
      <c r="D273" s="52" t="s">
        <v>773</v>
      </c>
      <c r="E273" s="52" t="s">
        <v>801</v>
      </c>
      <c r="F273" s="52" t="s">
        <v>866</v>
      </c>
      <c r="G273" s="65" t="s">
        <v>878</v>
      </c>
      <c r="H273" s="52" t="s">
        <v>1009</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row>
    <row r="274" spans="1:259" ht="48" customHeight="1" x14ac:dyDescent="0.3">
      <c r="A274" s="16" t="s">
        <v>457</v>
      </c>
      <c r="B274" s="57" t="s">
        <v>82</v>
      </c>
      <c r="C274" s="52" t="s">
        <v>745</v>
      </c>
      <c r="D274" s="52" t="s">
        <v>773</v>
      </c>
      <c r="E274" s="52" t="s">
        <v>801</v>
      </c>
      <c r="F274" s="52" t="s">
        <v>866</v>
      </c>
      <c r="G274" s="65" t="s">
        <v>934</v>
      </c>
      <c r="H274" s="52" t="s">
        <v>1010</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row>
    <row r="275" spans="1:259" ht="48" customHeight="1" x14ac:dyDescent="0.3">
      <c r="A275" s="16" t="s">
        <v>458</v>
      </c>
      <c r="B275" s="57" t="s">
        <v>83</v>
      </c>
      <c r="C275" s="52" t="s">
        <v>745</v>
      </c>
      <c r="D275" s="52" t="s">
        <v>780</v>
      </c>
      <c r="E275" s="52" t="s">
        <v>801</v>
      </c>
      <c r="F275" s="52" t="s">
        <v>866</v>
      </c>
      <c r="G275" s="65" t="s">
        <v>935</v>
      </c>
      <c r="H275" s="52" t="s">
        <v>1062</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row>
    <row r="276" spans="1:259" ht="48" customHeight="1" x14ac:dyDescent="0.3">
      <c r="A276" s="16" t="s">
        <v>459</v>
      </c>
      <c r="B276" s="57" t="s">
        <v>84</v>
      </c>
      <c r="C276" s="52" t="s">
        <v>745</v>
      </c>
      <c r="D276" s="52" t="s">
        <v>781</v>
      </c>
      <c r="E276" s="52" t="s">
        <v>801</v>
      </c>
      <c r="F276" s="52" t="s">
        <v>866</v>
      </c>
      <c r="G276" s="65" t="s">
        <v>936</v>
      </c>
      <c r="H276" s="52" t="s">
        <v>1063</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row>
    <row r="277" spans="1:259" ht="48" customHeight="1" x14ac:dyDescent="0.3">
      <c r="A277" s="16" t="s">
        <v>460</v>
      </c>
      <c r="B277" s="57" t="s">
        <v>85</v>
      </c>
      <c r="C277" s="52" t="s">
        <v>745</v>
      </c>
      <c r="D277" s="52" t="s">
        <v>865</v>
      </c>
      <c r="E277" s="52" t="s">
        <v>801</v>
      </c>
      <c r="F277" s="52" t="s">
        <v>866</v>
      </c>
      <c r="G277" s="65" t="s">
        <v>882</v>
      </c>
      <c r="H277" s="52" t="s">
        <v>1010</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row>
    <row r="278" spans="1:259" ht="48" customHeight="1" x14ac:dyDescent="0.3">
      <c r="A278" s="16" t="s">
        <v>461</v>
      </c>
      <c r="B278" s="57" t="s">
        <v>667</v>
      </c>
      <c r="C278" s="52" t="s">
        <v>745</v>
      </c>
      <c r="D278" s="52" t="s">
        <v>865</v>
      </c>
      <c r="E278" s="53"/>
      <c r="F278" s="52" t="s">
        <v>866</v>
      </c>
      <c r="G278" s="66"/>
      <c r="H278" s="53"/>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row>
    <row r="279" spans="1:259" ht="64" customHeight="1" x14ac:dyDescent="0.3">
      <c r="A279" s="16" t="s">
        <v>462</v>
      </c>
      <c r="B279" s="57" t="s">
        <v>86</v>
      </c>
      <c r="C279" s="52" t="s">
        <v>745</v>
      </c>
      <c r="D279" s="52" t="s">
        <v>862</v>
      </c>
      <c r="E279" s="53"/>
      <c r="F279" s="52" t="s">
        <v>866</v>
      </c>
      <c r="G279" s="65" t="s">
        <v>871</v>
      </c>
      <c r="H279" s="53"/>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row>
    <row r="280" spans="1:259" ht="64" customHeight="1" x14ac:dyDescent="0.3">
      <c r="A280" s="16" t="s">
        <v>463</v>
      </c>
      <c r="B280" s="57" t="s">
        <v>626</v>
      </c>
      <c r="C280" s="52" t="s">
        <v>763</v>
      </c>
      <c r="D280" s="52" t="s">
        <v>860</v>
      </c>
      <c r="E280" s="52" t="s">
        <v>795</v>
      </c>
      <c r="F280" s="52" t="s">
        <v>866</v>
      </c>
      <c r="G280" s="65" t="s">
        <v>937</v>
      </c>
      <c r="H280" s="53"/>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row>
    <row r="281" spans="1:259" ht="64" customHeight="1" x14ac:dyDescent="0.3">
      <c r="A281" s="16" t="s">
        <v>464</v>
      </c>
      <c r="B281" s="57" t="s">
        <v>87</v>
      </c>
      <c r="C281" s="52" t="s">
        <v>745</v>
      </c>
      <c r="D281" s="52" t="s">
        <v>861</v>
      </c>
      <c r="E281" s="52" t="s">
        <v>856</v>
      </c>
      <c r="F281" s="52" t="s">
        <v>866</v>
      </c>
      <c r="G281" s="65" t="s">
        <v>871</v>
      </c>
      <c r="H281" s="53"/>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row>
    <row r="282" spans="1:259" ht="47" customHeight="1" x14ac:dyDescent="0.3">
      <c r="A282" s="16" t="s">
        <v>465</v>
      </c>
      <c r="B282" s="57" t="s">
        <v>88</v>
      </c>
      <c r="C282" s="52" t="s">
        <v>745</v>
      </c>
      <c r="D282" s="52" t="s">
        <v>864</v>
      </c>
      <c r="E282" s="52" t="s">
        <v>856</v>
      </c>
      <c r="F282" s="52" t="s">
        <v>866</v>
      </c>
      <c r="G282" s="66"/>
      <c r="H282" s="53"/>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row>
    <row r="283" spans="1:259" ht="47" customHeight="1" x14ac:dyDescent="0.3">
      <c r="A283" s="16" t="s">
        <v>466</v>
      </c>
      <c r="B283" s="57" t="s">
        <v>94</v>
      </c>
      <c r="C283" s="52" t="s">
        <v>764</v>
      </c>
      <c r="D283" s="52" t="s">
        <v>864</v>
      </c>
      <c r="E283" s="53"/>
      <c r="F283" s="52" t="s">
        <v>866</v>
      </c>
      <c r="G283" s="65" t="s">
        <v>911</v>
      </c>
      <c r="H283" s="52" t="s">
        <v>1064</v>
      </c>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row>
    <row r="284" spans="1:259" ht="48" customHeight="1" x14ac:dyDescent="0.3">
      <c r="A284" s="16" t="s">
        <v>467</v>
      </c>
      <c r="B284" s="57" t="s">
        <v>89</v>
      </c>
      <c r="C284" s="52" t="s">
        <v>747</v>
      </c>
      <c r="D284" s="52" t="s">
        <v>774</v>
      </c>
      <c r="E284" s="52" t="s">
        <v>834</v>
      </c>
      <c r="F284" s="52" t="s">
        <v>866</v>
      </c>
      <c r="G284" s="65" t="s">
        <v>938</v>
      </c>
      <c r="H284" s="52" t="s">
        <v>1065</v>
      </c>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c r="IY284"/>
    </row>
    <row r="285" spans="1:259" ht="65" customHeight="1" x14ac:dyDescent="0.3">
      <c r="A285" s="16" t="s">
        <v>468</v>
      </c>
      <c r="B285" s="57" t="s">
        <v>90</v>
      </c>
      <c r="C285" s="52" t="s">
        <v>747</v>
      </c>
      <c r="D285" s="52" t="s">
        <v>775</v>
      </c>
      <c r="E285" s="52" t="s">
        <v>834</v>
      </c>
      <c r="F285" s="52" t="s">
        <v>866</v>
      </c>
      <c r="G285" s="66"/>
      <c r="H285" s="53"/>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row>
    <row r="286" spans="1:259" ht="36" customHeight="1" x14ac:dyDescent="0.3">
      <c r="A286" s="16" t="s">
        <v>469</v>
      </c>
      <c r="B286" s="57" t="s">
        <v>91</v>
      </c>
      <c r="C286" s="52" t="s">
        <v>747</v>
      </c>
      <c r="D286" s="52" t="s">
        <v>775</v>
      </c>
      <c r="E286" s="52" t="s">
        <v>834</v>
      </c>
      <c r="F286" s="52" t="s">
        <v>866</v>
      </c>
      <c r="G286" s="66"/>
      <c r="H286" s="53"/>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row>
    <row r="287" spans="1:259" ht="36" customHeight="1" x14ac:dyDescent="0.3">
      <c r="A287" s="16" t="s">
        <v>470</v>
      </c>
      <c r="B287" s="57" t="s">
        <v>92</v>
      </c>
      <c r="C287" s="52" t="s">
        <v>747</v>
      </c>
      <c r="D287" s="52" t="s">
        <v>775</v>
      </c>
      <c r="E287" s="52" t="s">
        <v>834</v>
      </c>
      <c r="F287" s="52" t="s">
        <v>866</v>
      </c>
      <c r="G287" s="66"/>
      <c r="H287" s="53"/>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row>
    <row r="288" spans="1:259" ht="36" customHeight="1" x14ac:dyDescent="0.3">
      <c r="A288" s="16" t="s">
        <v>471</v>
      </c>
      <c r="B288" s="57" t="s">
        <v>93</v>
      </c>
      <c r="C288" s="52" t="s">
        <v>747</v>
      </c>
      <c r="D288" s="52" t="s">
        <v>775</v>
      </c>
      <c r="E288" s="52" t="s">
        <v>834</v>
      </c>
      <c r="F288" s="52" t="s">
        <v>866</v>
      </c>
      <c r="G288" s="66"/>
      <c r="H288" s="53"/>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row>
    <row r="289" spans="1:259" ht="48" customHeight="1" x14ac:dyDescent="0.3">
      <c r="A289" s="16" t="s">
        <v>472</v>
      </c>
      <c r="B289" s="57" t="s">
        <v>188</v>
      </c>
      <c r="C289" s="52" t="s">
        <v>737</v>
      </c>
      <c r="D289" s="52" t="s">
        <v>776</v>
      </c>
      <c r="E289" s="52" t="s">
        <v>784</v>
      </c>
      <c r="F289" s="52" t="s">
        <v>866</v>
      </c>
      <c r="G289" s="66"/>
      <c r="H289" s="53"/>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row>
    <row r="290" spans="1:259" ht="47" customHeight="1" x14ac:dyDescent="0.3">
      <c r="A290" s="16" t="s">
        <v>473</v>
      </c>
      <c r="B290" s="57" t="s">
        <v>189</v>
      </c>
      <c r="C290" s="52" t="s">
        <v>737</v>
      </c>
      <c r="D290" s="52" t="s">
        <v>777</v>
      </c>
      <c r="E290" s="52" t="s">
        <v>808</v>
      </c>
      <c r="F290" s="52" t="s">
        <v>866</v>
      </c>
      <c r="G290" s="65" t="s">
        <v>889</v>
      </c>
      <c r="H290" s="53"/>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row>
    <row r="291" spans="1:259" ht="36" customHeight="1" x14ac:dyDescent="0.3">
      <c r="A291" s="16" t="s">
        <v>474</v>
      </c>
      <c r="B291" s="57" t="s">
        <v>190</v>
      </c>
      <c r="C291" s="52" t="s">
        <v>737</v>
      </c>
      <c r="D291" s="52" t="s">
        <v>777</v>
      </c>
      <c r="E291" s="52" t="s">
        <v>809</v>
      </c>
      <c r="F291" s="52" t="s">
        <v>866</v>
      </c>
      <c r="G291" s="65" t="s">
        <v>939</v>
      </c>
      <c r="H291" s="53"/>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row>
    <row r="292" spans="1:259" ht="36" customHeight="1" x14ac:dyDescent="0.3">
      <c r="A292" s="16" t="s">
        <v>475</v>
      </c>
      <c r="B292" s="57" t="s">
        <v>95</v>
      </c>
      <c r="C292" s="52" t="s">
        <v>737</v>
      </c>
      <c r="D292" s="52" t="s">
        <v>778</v>
      </c>
      <c r="E292" s="52" t="s">
        <v>784</v>
      </c>
      <c r="F292" s="52" t="s">
        <v>866</v>
      </c>
      <c r="G292" s="66"/>
      <c r="H292" s="53"/>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row>
    <row r="293" spans="1:259" ht="53" customHeight="1" x14ac:dyDescent="0.3">
      <c r="A293" s="16" t="s">
        <v>476</v>
      </c>
      <c r="B293" s="57" t="s">
        <v>191</v>
      </c>
      <c r="C293" s="52" t="s">
        <v>737</v>
      </c>
      <c r="D293" s="52" t="s">
        <v>782</v>
      </c>
      <c r="E293" s="52" t="s">
        <v>784</v>
      </c>
      <c r="F293" s="52" t="s">
        <v>866</v>
      </c>
      <c r="G293" s="66"/>
      <c r="H293" s="5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row>
    <row r="294" spans="1:259" ht="63" customHeight="1" x14ac:dyDescent="0.3">
      <c r="A294" s="16" t="s">
        <v>477</v>
      </c>
      <c r="B294" s="57" t="s">
        <v>578</v>
      </c>
      <c r="C294" s="52" t="s">
        <v>737</v>
      </c>
      <c r="D294" s="52" t="s">
        <v>863</v>
      </c>
      <c r="E294" s="52" t="s">
        <v>784</v>
      </c>
      <c r="F294" s="52" t="s">
        <v>866</v>
      </c>
      <c r="G294" s="66"/>
      <c r="H294" s="53"/>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row>
    <row r="295" spans="1:259" ht="36" customHeight="1" x14ac:dyDescent="0.3">
      <c r="A295" s="79" t="str">
        <f>IF(OR($C$9="No",$C$10="Yes"),"PCI DSS - Optional based on QUALIFIER response.","PCI DSS")</f>
        <v>PCI DSS</v>
      </c>
      <c r="B295" s="79"/>
      <c r="C295" s="51" t="str">
        <f>$C$3</f>
        <v>CIS Critical Security Controls v6.1</v>
      </c>
      <c r="D295" s="51" t="str">
        <f>$D$3</f>
        <v>HIPAA</v>
      </c>
      <c r="E295" s="51" t="str">
        <f>$E$3</f>
        <v>ISO 27002:2013</v>
      </c>
      <c r="F295" s="51" t="str">
        <f>$F$3</f>
        <v>NIST Cybersecurity Framework</v>
      </c>
      <c r="G295" s="36" t="str">
        <f>$G$3</f>
        <v>NIST SP 800-171r1</v>
      </c>
      <c r="H295" s="51" t="str">
        <f>$H$3</f>
        <v>NIST SP 800-53r4</v>
      </c>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row>
    <row r="296" spans="1:259" ht="48" customHeight="1" x14ac:dyDescent="0.3">
      <c r="A296" s="16" t="s">
        <v>479</v>
      </c>
      <c r="B296" s="57" t="s">
        <v>96</v>
      </c>
      <c r="C296" s="52" t="s">
        <v>737</v>
      </c>
      <c r="D296" s="59"/>
      <c r="E296" s="52" t="s">
        <v>784</v>
      </c>
      <c r="F296" s="52" t="s">
        <v>866</v>
      </c>
      <c r="G296" s="66"/>
      <c r="H296" s="59"/>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row>
    <row r="297" spans="1:259" ht="48" customHeight="1" x14ac:dyDescent="0.3">
      <c r="A297" s="16" t="s">
        <v>480</v>
      </c>
      <c r="B297" s="57" t="s">
        <v>97</v>
      </c>
      <c r="C297" s="52" t="s">
        <v>737</v>
      </c>
      <c r="D297" s="59"/>
      <c r="E297" s="52" t="s">
        <v>784</v>
      </c>
      <c r="F297" s="52" t="s">
        <v>866</v>
      </c>
      <c r="G297" s="66"/>
      <c r="H297" s="59"/>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row>
    <row r="298" spans="1:259" ht="48" customHeight="1" x14ac:dyDescent="0.3">
      <c r="A298" s="16" t="s">
        <v>481</v>
      </c>
      <c r="B298" s="57" t="s">
        <v>98</v>
      </c>
      <c r="C298" s="52" t="s">
        <v>737</v>
      </c>
      <c r="D298" s="59"/>
      <c r="E298" s="52" t="s">
        <v>784</v>
      </c>
      <c r="F298" s="52" t="s">
        <v>866</v>
      </c>
      <c r="G298" s="66"/>
      <c r="H298" s="59"/>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row>
    <row r="299" spans="1:259" ht="36" customHeight="1" x14ac:dyDescent="0.3">
      <c r="A299" s="16" t="s">
        <v>482</v>
      </c>
      <c r="B299" s="57" t="s">
        <v>99</v>
      </c>
      <c r="C299" s="53"/>
      <c r="D299" s="59"/>
      <c r="E299" s="59"/>
      <c r="F299" s="52" t="s">
        <v>866</v>
      </c>
      <c r="G299" s="66"/>
      <c r="H299" s="5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row>
    <row r="300" spans="1:259" ht="36" customHeight="1" x14ac:dyDescent="0.3">
      <c r="A300" s="16" t="s">
        <v>483</v>
      </c>
      <c r="B300" s="57" t="s">
        <v>100</v>
      </c>
      <c r="C300" s="53"/>
      <c r="D300" s="59"/>
      <c r="E300" s="59"/>
      <c r="F300" s="52" t="s">
        <v>866</v>
      </c>
      <c r="G300" s="66"/>
      <c r="H300" s="59"/>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row>
    <row r="301" spans="1:259" ht="36" customHeight="1" x14ac:dyDescent="0.3">
      <c r="A301" s="16" t="s">
        <v>484</v>
      </c>
      <c r="B301" s="57" t="s">
        <v>101</v>
      </c>
      <c r="C301" s="53"/>
      <c r="D301" s="59"/>
      <c r="E301" s="59"/>
      <c r="F301" s="52" t="s">
        <v>866</v>
      </c>
      <c r="G301" s="66"/>
      <c r="H301" s="59"/>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row>
    <row r="302" spans="1:259" ht="64" customHeight="1" x14ac:dyDescent="0.3">
      <c r="A302" s="16" t="s">
        <v>485</v>
      </c>
      <c r="B302" s="57" t="s">
        <v>102</v>
      </c>
      <c r="C302" s="52" t="s">
        <v>765</v>
      </c>
      <c r="D302" s="59"/>
      <c r="E302" s="59"/>
      <c r="F302" s="52" t="s">
        <v>866</v>
      </c>
      <c r="G302" s="67"/>
      <c r="H302" s="59"/>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row>
    <row r="303" spans="1:259" ht="64" customHeight="1" x14ac:dyDescent="0.3">
      <c r="A303" s="16" t="s">
        <v>486</v>
      </c>
      <c r="B303" s="57" t="s">
        <v>103</v>
      </c>
      <c r="C303" s="52" t="s">
        <v>736</v>
      </c>
      <c r="D303" s="59"/>
      <c r="E303" s="59"/>
      <c r="F303" s="52" t="s">
        <v>866</v>
      </c>
      <c r="G303" s="67"/>
      <c r="H303" s="59"/>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row>
    <row r="304" spans="1:259" ht="36" customHeight="1" x14ac:dyDescent="0.3">
      <c r="A304" s="16" t="s">
        <v>487</v>
      </c>
      <c r="B304" s="57" t="s">
        <v>104</v>
      </c>
      <c r="C304" s="52" t="s">
        <v>737</v>
      </c>
      <c r="D304" s="59"/>
      <c r="E304" s="59"/>
      <c r="F304" s="52" t="s">
        <v>866</v>
      </c>
      <c r="G304" s="66"/>
      <c r="H304" s="59"/>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row>
    <row r="305" spans="1:259" ht="36" customHeight="1" x14ac:dyDescent="0.3">
      <c r="A305" s="16" t="s">
        <v>488</v>
      </c>
      <c r="B305" s="57" t="s">
        <v>105</v>
      </c>
      <c r="C305" s="53"/>
      <c r="D305" s="59"/>
      <c r="E305" s="59"/>
      <c r="F305" s="52" t="s">
        <v>866</v>
      </c>
      <c r="G305" s="66"/>
      <c r="H305" s="59"/>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row>
    <row r="306" spans="1:259" ht="54" customHeight="1" x14ac:dyDescent="0.3">
      <c r="A306" s="16" t="s">
        <v>489</v>
      </c>
      <c r="B306" s="57" t="s">
        <v>207</v>
      </c>
      <c r="C306" s="52" t="s">
        <v>766</v>
      </c>
      <c r="D306" s="59"/>
      <c r="E306" s="59"/>
      <c r="F306" s="52" t="s">
        <v>866</v>
      </c>
      <c r="G306" s="66"/>
      <c r="H306" s="59"/>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row>
    <row r="307" spans="1:259" ht="64" customHeight="1" x14ac:dyDescent="0.3">
      <c r="A307" s="16" t="s">
        <v>490</v>
      </c>
      <c r="B307" s="57" t="s">
        <v>106</v>
      </c>
      <c r="C307" s="52" t="s">
        <v>737</v>
      </c>
      <c r="D307" s="59"/>
      <c r="E307" s="59"/>
      <c r="F307" s="52" t="s">
        <v>866</v>
      </c>
      <c r="G307" s="67"/>
      <c r="H307" s="59"/>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row>
  </sheetData>
  <mergeCells count="25">
    <mergeCell ref="A145:B145"/>
    <mergeCell ref="A148:B148"/>
    <mergeCell ref="A113:B113"/>
    <mergeCell ref="A97:B97"/>
    <mergeCell ref="A239:B239"/>
    <mergeCell ref="A208:B208"/>
    <mergeCell ref="A215:B215"/>
    <mergeCell ref="A196:B196"/>
    <mergeCell ref="A168:B168"/>
    <mergeCell ref="A183:B183"/>
    <mergeCell ref="A263:B263"/>
    <mergeCell ref="A295:B295"/>
    <mergeCell ref="A242:B242"/>
    <mergeCell ref="A248:B248"/>
    <mergeCell ref="A253:B253"/>
    <mergeCell ref="A11:B11"/>
    <mergeCell ref="A18:B18"/>
    <mergeCell ref="A3:B3"/>
    <mergeCell ref="A1:D1"/>
    <mergeCell ref="A84:B84"/>
    <mergeCell ref="A64:B64"/>
    <mergeCell ref="A43:B43"/>
    <mergeCell ref="A31:B31"/>
    <mergeCell ref="A26:B26"/>
    <mergeCell ref="A2:H2"/>
  </mergeCells>
  <conditionalFormatting sqref="A196">
    <cfRule type="expression" dxfId="154" priority="169">
      <formula>$C$5="No"</formula>
    </cfRule>
  </conditionalFormatting>
  <conditionalFormatting sqref="A263">
    <cfRule type="expression" dxfId="153" priority="168">
      <formula>$C$4="No"</formula>
    </cfRule>
  </conditionalFormatting>
  <conditionalFormatting sqref="A26">
    <cfRule type="expression" dxfId="152" priority="167">
      <formula>$C$6="No"</formula>
    </cfRule>
  </conditionalFormatting>
  <conditionalFormatting sqref="A168">
    <cfRule type="expression" dxfId="151" priority="166">
      <formula>$C$8="No"</formula>
    </cfRule>
  </conditionalFormatting>
  <conditionalFormatting sqref="A153:E154 H153:H154">
    <cfRule type="expression" dxfId="150" priority="116">
      <formula>$C$152="No"</formula>
    </cfRule>
  </conditionalFormatting>
  <conditionalFormatting sqref="A158:E158 H158">
    <cfRule type="expression" dxfId="149" priority="163">
      <formula>$C$157="No"</formula>
    </cfRule>
  </conditionalFormatting>
  <conditionalFormatting sqref="A154:E154 H154">
    <cfRule type="expression" dxfId="148" priority="115">
      <formula>$C$153="No"</formula>
    </cfRule>
  </conditionalFormatting>
  <conditionalFormatting sqref="B45 D45:E45 H45">
    <cfRule type="expression" dxfId="147" priority="162">
      <formula>$C$44="No"</formula>
    </cfRule>
  </conditionalFormatting>
  <conditionalFormatting sqref="A77:E77 H77">
    <cfRule type="expression" dxfId="146" priority="126">
      <formula>$C$76="No"</formula>
    </cfRule>
  </conditionalFormatting>
  <conditionalFormatting sqref="A79:E80 H79:H80">
    <cfRule type="expression" dxfId="145" priority="158">
      <formula>$C$78="No"</formula>
    </cfRule>
  </conditionalFormatting>
  <conditionalFormatting sqref="B50:E50 H50">
    <cfRule type="expression" dxfId="144" priority="127">
      <formula>$C$49="No"</formula>
    </cfRule>
  </conditionalFormatting>
  <conditionalFormatting sqref="A133:E133 H133">
    <cfRule type="expression" dxfId="143" priority="144">
      <formula>$C$132="No"</formula>
    </cfRule>
  </conditionalFormatting>
  <conditionalFormatting sqref="A73:E73 H73">
    <cfRule type="expression" dxfId="142" priority="125">
      <formula>$C$72="No"</formula>
    </cfRule>
  </conditionalFormatting>
  <conditionalFormatting sqref="A255:E255 H255">
    <cfRule type="expression" dxfId="141" priority="97">
      <formula>$C$254="No"</formula>
    </cfRule>
  </conditionalFormatting>
  <conditionalFormatting sqref="A258:E258 H258">
    <cfRule type="expression" dxfId="140" priority="98">
      <formula>$C$257="No"</formula>
    </cfRule>
  </conditionalFormatting>
  <conditionalFormatting sqref="B204:E204 H204">
    <cfRule type="expression" dxfId="139" priority="109">
      <formula>$C$203="No"</formula>
    </cfRule>
  </conditionalFormatting>
  <conditionalFormatting sqref="B207:E207 H207">
    <cfRule type="expression" dxfId="138" priority="110">
      <formula>$C$206="No"</formula>
    </cfRule>
  </conditionalFormatting>
  <conditionalFormatting sqref="A295">
    <cfRule type="expression" dxfId="137" priority="153">
      <formula>$C$9="No"</formula>
    </cfRule>
  </conditionalFormatting>
  <conditionalFormatting sqref="A288:E288 H288">
    <cfRule type="expression" dxfId="136" priority="137">
      <formula>$C$287="No"</formula>
    </cfRule>
  </conditionalFormatting>
  <conditionalFormatting sqref="A235:E235 H235">
    <cfRule type="expression" dxfId="135" priority="106">
      <formula>$C$234="No"</formula>
    </cfRule>
  </conditionalFormatting>
  <conditionalFormatting sqref="A232:E232 H232">
    <cfRule type="expression" dxfId="134" priority="105">
      <formula>$C$231="No"</formula>
    </cfRule>
  </conditionalFormatting>
  <conditionalFormatting sqref="B38:E39 H38:H39">
    <cfRule type="expression" dxfId="133" priority="149">
      <formula>$C$37="No"</formula>
    </cfRule>
  </conditionalFormatting>
  <conditionalFormatting sqref="B41:C42 E41:E42">
    <cfRule type="expression" dxfId="132" priority="148">
      <formula>$C$40="No"</formula>
    </cfRule>
  </conditionalFormatting>
  <conditionalFormatting sqref="A31">
    <cfRule type="expression" dxfId="131" priority="147">
      <formula>$C$10="No"</formula>
    </cfRule>
  </conditionalFormatting>
  <conditionalFormatting sqref="A123:E123 H123">
    <cfRule type="expression" dxfId="130" priority="119">
      <formula>$C$122="No"</formula>
    </cfRule>
  </conditionalFormatting>
  <conditionalFormatting sqref="C140:D140 C141:C144">
    <cfRule type="expression" dxfId="129" priority="145">
      <formula>$C$139="No"</formula>
    </cfRule>
  </conditionalFormatting>
  <conditionalFormatting sqref="A127:E127 H127">
    <cfRule type="expression" dxfId="128" priority="120">
      <formula>$C$126="No"</formula>
    </cfRule>
  </conditionalFormatting>
  <conditionalFormatting sqref="A99:E99 H99">
    <cfRule type="expression" dxfId="127" priority="121">
      <formula>$C$98="No"</formula>
    </cfRule>
  </conditionalFormatting>
  <conditionalFormatting sqref="A164:E164 H164">
    <cfRule type="expression" dxfId="126" priority="142">
      <formula>$C$163="No"</formula>
    </cfRule>
  </conditionalFormatting>
  <conditionalFormatting sqref="A194:E194 H194">
    <cfRule type="expression" dxfId="125" priority="111">
      <formula>$C$193="No"</formula>
    </cfRule>
  </conditionalFormatting>
  <conditionalFormatting sqref="A175:E175 A174:C174 E174 H175">
    <cfRule type="expression" dxfId="124" priority="113">
      <formula>$C$173="No"</formula>
    </cfRule>
  </conditionalFormatting>
  <conditionalFormatting sqref="A84">
    <cfRule type="expression" dxfId="123" priority="139">
      <formula>$C$7="No"</formula>
    </cfRule>
  </conditionalFormatting>
  <conditionalFormatting sqref="A271:E272 H271:H272">
    <cfRule type="expression" dxfId="122" priority="95">
      <formula>$C$270="No"</formula>
    </cfRule>
  </conditionalFormatting>
  <conditionalFormatting sqref="A272:E272 H272">
    <cfRule type="expression" dxfId="121" priority="96">
      <formula>$C$271="No"</formula>
    </cfRule>
  </conditionalFormatting>
  <conditionalFormatting sqref="B32:B42 E32:E42">
    <cfRule type="expression" dxfId="120" priority="136">
      <formula>$C$10="No"</formula>
    </cfRule>
  </conditionalFormatting>
  <conditionalFormatting sqref="B27:B29 E27:E30">
    <cfRule type="expression" dxfId="119" priority="135">
      <formula>$C$6="No"</formula>
    </cfRule>
  </conditionalFormatting>
  <conditionalFormatting sqref="C252:D252">
    <cfRule type="expression" dxfId="118" priority="134">
      <formula>$C$157="No"</formula>
    </cfRule>
  </conditionalFormatting>
  <conditionalFormatting sqref="C238:D238">
    <cfRule type="expression" dxfId="117" priority="133">
      <formula>$C$231="No"</formula>
    </cfRule>
  </conditionalFormatting>
  <conditionalFormatting sqref="B30">
    <cfRule type="expression" dxfId="116" priority="132">
      <formula>$C$6="No"</formula>
    </cfRule>
  </conditionalFormatting>
  <conditionalFormatting sqref="A43:B43 A64:B64 A84:B84 A97:B97 A113:B113 A148:B148 A168:B168 A183:B183 A196:B196 A215:B215 A239:B239 A242:B242 A248:B248 A263:B263 A295:B295">
    <cfRule type="expression" dxfId="115" priority="131">
      <formula>$C$10="Yes"</formula>
    </cfRule>
  </conditionalFormatting>
  <conditionalFormatting sqref="A145:B145">
    <cfRule type="expression" dxfId="114" priority="130">
      <formula>$C$10="Yes"</formula>
    </cfRule>
  </conditionalFormatting>
  <conditionalFormatting sqref="A208:B208">
    <cfRule type="expression" dxfId="113" priority="129">
      <formula>$C$10="Yes"</formula>
    </cfRule>
  </conditionalFormatting>
  <conditionalFormatting sqref="A253:B253">
    <cfRule type="expression" dxfId="112" priority="128">
      <formula>$C$10="Yes"</formula>
    </cfRule>
  </conditionalFormatting>
  <conditionalFormatting sqref="B44:B62 E44:E63 B264:B294 E264:E294 H264:H294">
    <cfRule type="expression" dxfId="111" priority="159">
      <formula>$C$10="Yes"</formula>
    </cfRule>
  </conditionalFormatting>
  <conditionalFormatting sqref="B65:B83">
    <cfRule type="expression" dxfId="110" priority="161">
      <formula>$C$10="Yes"</formula>
    </cfRule>
  </conditionalFormatting>
  <conditionalFormatting sqref="E65:E83">
    <cfRule type="expression" dxfId="109" priority="160">
      <formula>$C$10="Yes"</formula>
    </cfRule>
  </conditionalFormatting>
  <conditionalFormatting sqref="B85:B96">
    <cfRule type="expression" dxfId="108" priority="124">
      <formula>$C$10="Yes"</formula>
    </cfRule>
  </conditionalFormatting>
  <conditionalFormatting sqref="E85:E96">
    <cfRule type="expression" dxfId="107" priority="123">
      <formula>$C$10="Yes"</formula>
    </cfRule>
  </conditionalFormatting>
  <conditionalFormatting sqref="B98:B112">
    <cfRule type="expression" dxfId="106" priority="143">
      <formula>$C$10="Yes"</formula>
    </cfRule>
  </conditionalFormatting>
  <conditionalFormatting sqref="E98:E112">
    <cfRule type="expression" dxfId="105" priority="122">
      <formula>$C$10="Yes"</formula>
    </cfRule>
  </conditionalFormatting>
  <conditionalFormatting sqref="B114:B144">
    <cfRule type="expression" dxfId="104" priority="170">
      <formula>$C$10="Yes"</formula>
    </cfRule>
  </conditionalFormatting>
  <conditionalFormatting sqref="E114:E144">
    <cfRule type="expression" dxfId="103" priority="146">
      <formula>$C$10="Yes"</formula>
    </cfRule>
  </conditionalFormatting>
  <conditionalFormatting sqref="B146:B147">
    <cfRule type="expression" dxfId="102" priority="118">
      <formula>$C$10="Yes"</formula>
    </cfRule>
  </conditionalFormatting>
  <conditionalFormatting sqref="E146:E147">
    <cfRule type="expression" dxfId="101" priority="117">
      <formula>$C$10="Yes"</formula>
    </cfRule>
  </conditionalFormatting>
  <conditionalFormatting sqref="B149:B167">
    <cfRule type="expression" dxfId="100" priority="165">
      <formula>$C$10="Yes"</formula>
    </cfRule>
  </conditionalFormatting>
  <conditionalFormatting sqref="E149:E167">
    <cfRule type="expression" dxfId="99" priority="164">
      <formula>$C$10="Yes"</formula>
    </cfRule>
  </conditionalFormatting>
  <conditionalFormatting sqref="B169:B182">
    <cfRule type="expression" dxfId="98" priority="140">
      <formula>$C$10="Yes"</formula>
    </cfRule>
  </conditionalFormatting>
  <conditionalFormatting sqref="E169:E182">
    <cfRule type="expression" dxfId="97" priority="114">
      <formula>$C$10="Yes"</formula>
    </cfRule>
  </conditionalFormatting>
  <conditionalFormatting sqref="B184:B195">
    <cfRule type="expression" dxfId="96" priority="141">
      <formula>$C$10="Yes"</formula>
    </cfRule>
  </conditionalFormatting>
  <conditionalFormatting sqref="E184:E195">
    <cfRule type="expression" dxfId="95" priority="112">
      <formula>$C$10="Yes"</formula>
    </cfRule>
  </conditionalFormatting>
  <conditionalFormatting sqref="B197:B207">
    <cfRule type="expression" dxfId="94" priority="155">
      <formula>$C$10="Yes"</formula>
    </cfRule>
  </conditionalFormatting>
  <conditionalFormatting sqref="E197:E207">
    <cfRule type="expression" dxfId="93" priority="154">
      <formula>$C$10="Yes"</formula>
    </cfRule>
  </conditionalFormatting>
  <conditionalFormatting sqref="B209:B214">
    <cfRule type="expression" dxfId="92" priority="108">
      <formula>$C$10="Yes"</formula>
    </cfRule>
  </conditionalFormatting>
  <conditionalFormatting sqref="E209:E214">
    <cfRule type="expression" dxfId="91" priority="107">
      <formula>$C$10="Yes"</formula>
    </cfRule>
  </conditionalFormatting>
  <conditionalFormatting sqref="B216:B238">
    <cfRule type="expression" dxfId="90" priority="151">
      <formula>$C$10="Yes"</formula>
    </cfRule>
  </conditionalFormatting>
  <conditionalFormatting sqref="E216:E238">
    <cfRule type="expression" dxfId="89" priority="150">
      <formula>$C$10="Yes"</formula>
    </cfRule>
  </conditionalFormatting>
  <conditionalFormatting sqref="B240:B241">
    <cfRule type="expression" dxfId="88" priority="104">
      <formula>$C$10="Yes"</formula>
    </cfRule>
  </conditionalFormatting>
  <conditionalFormatting sqref="E240:E241">
    <cfRule type="expression" dxfId="87" priority="103">
      <formula>$C$10="Yes"</formula>
    </cfRule>
  </conditionalFormatting>
  <conditionalFormatting sqref="B243:B247">
    <cfRule type="expression" dxfId="86" priority="102">
      <formula>$C$10="Yes"</formula>
    </cfRule>
  </conditionalFormatting>
  <conditionalFormatting sqref="E243:E247">
    <cfRule type="expression" dxfId="85" priority="101">
      <formula>$C$10="Yes"</formula>
    </cfRule>
  </conditionalFormatting>
  <conditionalFormatting sqref="B249:B252">
    <cfRule type="expression" dxfId="84" priority="100">
      <formula>$C$10="Yes"</formula>
    </cfRule>
  </conditionalFormatting>
  <conditionalFormatting sqref="E249:E252">
    <cfRule type="expression" dxfId="83" priority="99">
      <formula>$C$10="Yes"</formula>
    </cfRule>
  </conditionalFormatting>
  <conditionalFormatting sqref="B254:B262">
    <cfRule type="expression" dxfId="82" priority="157">
      <formula>$C$10="Yes"</formula>
    </cfRule>
  </conditionalFormatting>
  <conditionalFormatting sqref="E254:E262">
    <cfRule type="expression" dxfId="81" priority="156">
      <formula>$C$10="Yes"</formula>
    </cfRule>
  </conditionalFormatting>
  <conditionalFormatting sqref="B296:B307">
    <cfRule type="expression" dxfId="80" priority="94">
      <formula>$C$10="Yes"</formula>
    </cfRule>
  </conditionalFormatting>
  <conditionalFormatting sqref="E296:E307">
    <cfRule type="expression" dxfId="79" priority="93">
      <formula>$C$10="Yes"</formula>
    </cfRule>
  </conditionalFormatting>
  <conditionalFormatting sqref="A291:E291 A292:A294 H291">
    <cfRule type="expression" dxfId="78" priority="92">
      <formula>$C$290="No"</formula>
    </cfRule>
  </conditionalFormatting>
  <conditionalFormatting sqref="B63">
    <cfRule type="expression" dxfId="77" priority="91">
      <formula>$C$10="Yes"</formula>
    </cfRule>
  </conditionalFormatting>
  <conditionalFormatting sqref="F153:F154">
    <cfRule type="expression" dxfId="76" priority="49">
      <formula>$C$152="No"</formula>
    </cfRule>
  </conditionalFormatting>
  <conditionalFormatting sqref="F158">
    <cfRule type="expression" dxfId="75" priority="85">
      <formula>$C$157="No"</formula>
    </cfRule>
  </conditionalFormatting>
  <conditionalFormatting sqref="F154">
    <cfRule type="expression" dxfId="74" priority="48">
      <formula>$C$153="No"</formula>
    </cfRule>
  </conditionalFormatting>
  <conditionalFormatting sqref="F77">
    <cfRule type="expression" dxfId="73" priority="57">
      <formula>$C$76="No"</formula>
    </cfRule>
  </conditionalFormatting>
  <conditionalFormatting sqref="F79:F80">
    <cfRule type="expression" dxfId="72" priority="81">
      <formula>$C$78="No"</formula>
    </cfRule>
  </conditionalFormatting>
  <conditionalFormatting sqref="F50">
    <cfRule type="expression" dxfId="71" priority="58">
      <formula>$C$49="No"</formula>
    </cfRule>
  </conditionalFormatting>
  <conditionalFormatting sqref="F133">
    <cfRule type="expression" dxfId="70" priority="71">
      <formula>$C$132="No"</formula>
    </cfRule>
  </conditionalFormatting>
  <conditionalFormatting sqref="F73">
    <cfRule type="expression" dxfId="69" priority="56">
      <formula>$C$72="No"</formula>
    </cfRule>
  </conditionalFormatting>
  <conditionalFormatting sqref="F255">
    <cfRule type="expression" dxfId="68" priority="34">
      <formula>$C$254="No"</formula>
    </cfRule>
  </conditionalFormatting>
  <conditionalFormatting sqref="F258">
    <cfRule type="expression" dxfId="67" priority="35">
      <formula>$C$257="No"</formula>
    </cfRule>
  </conditionalFormatting>
  <conditionalFormatting sqref="F204">
    <cfRule type="expression" dxfId="66" priority="42">
      <formula>$C$203="No"</formula>
    </cfRule>
  </conditionalFormatting>
  <conditionalFormatting sqref="F207">
    <cfRule type="expression" dxfId="65" priority="43">
      <formula>$C$206="No"</formula>
    </cfRule>
  </conditionalFormatting>
  <conditionalFormatting sqref="F288">
    <cfRule type="expression" dxfId="64" priority="67">
      <formula>$C$287="No"</formula>
    </cfRule>
  </conditionalFormatting>
  <conditionalFormatting sqref="F235">
    <cfRule type="expression" dxfId="63" priority="40">
      <formula>$C$234="No"</formula>
    </cfRule>
  </conditionalFormatting>
  <conditionalFormatting sqref="F232">
    <cfRule type="expression" dxfId="62" priority="39">
      <formula>$C$231="No"</formula>
    </cfRule>
  </conditionalFormatting>
  <conditionalFormatting sqref="F38:F39">
    <cfRule type="expression" dxfId="61" priority="76">
      <formula>$C$37="No"</formula>
    </cfRule>
  </conditionalFormatting>
  <conditionalFormatting sqref="F41:F42 H41:H42">
    <cfRule type="expression" dxfId="60" priority="75">
      <formula>$C$40="No"</formula>
    </cfRule>
  </conditionalFormatting>
  <conditionalFormatting sqref="F123">
    <cfRule type="expression" dxfId="59" priority="51">
      <formula>$C$122="No"</formula>
    </cfRule>
  </conditionalFormatting>
  <conditionalFormatting sqref="F140:F144">
    <cfRule type="expression" dxfId="58" priority="72">
      <formula>$C$139="No"</formula>
    </cfRule>
  </conditionalFormatting>
  <conditionalFormatting sqref="F127">
    <cfRule type="expression" dxfId="57" priority="52">
      <formula>$C$126="No"</formula>
    </cfRule>
  </conditionalFormatting>
  <conditionalFormatting sqref="F99">
    <cfRule type="expression" dxfId="56" priority="53">
      <formula>$C$98="No"</formula>
    </cfRule>
  </conditionalFormatting>
  <conditionalFormatting sqref="F164">
    <cfRule type="expression" dxfId="55" priority="70">
      <formula>$C$163="No"</formula>
    </cfRule>
  </conditionalFormatting>
  <conditionalFormatting sqref="F194">
    <cfRule type="expression" dxfId="54" priority="44">
      <formula>$C$193="No"</formula>
    </cfRule>
  </conditionalFormatting>
  <conditionalFormatting sqref="F174:F175 H174">
    <cfRule type="expression" dxfId="53" priority="46">
      <formula>$C$173="No"</formula>
    </cfRule>
  </conditionalFormatting>
  <conditionalFormatting sqref="F271:F272">
    <cfRule type="expression" dxfId="52" priority="32">
      <formula>$C$270="No"</formula>
    </cfRule>
  </conditionalFormatting>
  <conditionalFormatting sqref="F272">
    <cfRule type="expression" dxfId="51" priority="33">
      <formula>$C$271="No"</formula>
    </cfRule>
  </conditionalFormatting>
  <conditionalFormatting sqref="H32:H42">
    <cfRule type="expression" dxfId="50" priority="66">
      <formula>$C$10="No"</formula>
    </cfRule>
  </conditionalFormatting>
  <conditionalFormatting sqref="H27:H30">
    <cfRule type="expression" dxfId="49" priority="65">
      <formula>$C$6="No"</formula>
    </cfRule>
  </conditionalFormatting>
  <conditionalFormatting sqref="F252">
    <cfRule type="expression" dxfId="48" priority="64">
      <formula>$C$157="No"</formula>
    </cfRule>
  </conditionalFormatting>
  <conditionalFormatting sqref="F238">
    <cfRule type="expression" dxfId="47" priority="63">
      <formula>$C$231="No"</formula>
    </cfRule>
  </conditionalFormatting>
  <conditionalFormatting sqref="H44:H63">
    <cfRule type="expression" dxfId="46" priority="82">
      <formula>$C$10="Yes"</formula>
    </cfRule>
  </conditionalFormatting>
  <conditionalFormatting sqref="H65:H83">
    <cfRule type="expression" dxfId="45" priority="83">
      <formula>$C$10="Yes"</formula>
    </cfRule>
  </conditionalFormatting>
  <conditionalFormatting sqref="H85:H96">
    <cfRule type="expression" dxfId="44" priority="55">
      <formula>$C$10="Yes"</formula>
    </cfRule>
  </conditionalFormatting>
  <conditionalFormatting sqref="H98:H112">
    <cfRule type="expression" dxfId="43" priority="54">
      <formula>$C$10="Yes"</formula>
    </cfRule>
  </conditionalFormatting>
  <conditionalFormatting sqref="H114:H144">
    <cfRule type="expression" dxfId="42" priority="73">
      <formula>$C$10="Yes"</formula>
    </cfRule>
  </conditionalFormatting>
  <conditionalFormatting sqref="H146:H147">
    <cfRule type="expression" dxfId="41" priority="50">
      <formula>$C$10="Yes"</formula>
    </cfRule>
  </conditionalFormatting>
  <conditionalFormatting sqref="H149:H167">
    <cfRule type="expression" dxfId="40" priority="86">
      <formula>$C$10="Yes"</formula>
    </cfRule>
  </conditionalFormatting>
  <conditionalFormatting sqref="H169:H182">
    <cfRule type="expression" dxfId="39" priority="47">
      <formula>$C$10="Yes"</formula>
    </cfRule>
  </conditionalFormatting>
  <conditionalFormatting sqref="H184:H195">
    <cfRule type="expression" dxfId="38" priority="45">
      <formula>$C$10="Yes"</formula>
    </cfRule>
  </conditionalFormatting>
  <conditionalFormatting sqref="H197:H207">
    <cfRule type="expression" dxfId="37" priority="79">
      <formula>$C$10="Yes"</formula>
    </cfRule>
  </conditionalFormatting>
  <conditionalFormatting sqref="H209:H214">
    <cfRule type="expression" dxfId="36" priority="41">
      <formula>$C$10="Yes"</formula>
    </cfRule>
  </conditionalFormatting>
  <conditionalFormatting sqref="H216:H238">
    <cfRule type="expression" dxfId="35" priority="77">
      <formula>$C$10="Yes"</formula>
    </cfRule>
  </conditionalFormatting>
  <conditionalFormatting sqref="H240:H241">
    <cfRule type="expression" dxfId="34" priority="38">
      <formula>$C$10="Yes"</formula>
    </cfRule>
  </conditionalFormatting>
  <conditionalFormatting sqref="H243:H247">
    <cfRule type="expression" dxfId="33" priority="37">
      <formula>$C$10="Yes"</formula>
    </cfRule>
  </conditionalFormatting>
  <conditionalFormatting sqref="H249:H252">
    <cfRule type="expression" dxfId="32" priority="36">
      <formula>$C$10="Yes"</formula>
    </cfRule>
  </conditionalFormatting>
  <conditionalFormatting sqref="H254:H262">
    <cfRule type="expression" dxfId="31" priority="80">
      <formula>$C$10="Yes"</formula>
    </cfRule>
  </conditionalFormatting>
  <conditionalFormatting sqref="H296:H307">
    <cfRule type="expression" dxfId="30" priority="31">
      <formula>$C$10="Yes"</formula>
    </cfRule>
  </conditionalFormatting>
  <conditionalFormatting sqref="F291">
    <cfRule type="expression" dxfId="29" priority="30">
      <formula>$C$290="No"</formula>
    </cfRule>
  </conditionalFormatting>
  <conditionalFormatting sqref="G153:G154">
    <cfRule type="expression" dxfId="28" priority="13">
      <formula>$C$152="No"</formula>
    </cfRule>
  </conditionalFormatting>
  <conditionalFormatting sqref="G158">
    <cfRule type="expression" dxfId="27" priority="29">
      <formula>$C$157="No"</formula>
    </cfRule>
  </conditionalFormatting>
  <conditionalFormatting sqref="G154">
    <cfRule type="expression" dxfId="26" priority="12">
      <formula>$C$153="No"</formula>
    </cfRule>
  </conditionalFormatting>
  <conditionalFormatting sqref="G77">
    <cfRule type="expression" dxfId="25" priority="18">
      <formula>$C$76="No"</formula>
    </cfRule>
  </conditionalFormatting>
  <conditionalFormatting sqref="G79:G80">
    <cfRule type="expression" dxfId="24" priority="28">
      <formula>$C$78="No"</formula>
    </cfRule>
  </conditionalFormatting>
  <conditionalFormatting sqref="G50">
    <cfRule type="expression" dxfId="23" priority="19">
      <formula>$C$49="No"</formula>
    </cfRule>
  </conditionalFormatting>
  <conditionalFormatting sqref="G133">
    <cfRule type="expression" dxfId="22" priority="24">
      <formula>$C$132="No"</formula>
    </cfRule>
  </conditionalFormatting>
  <conditionalFormatting sqref="G73">
    <cfRule type="expression" dxfId="21" priority="17">
      <formula>$C$72="No"</formula>
    </cfRule>
  </conditionalFormatting>
  <conditionalFormatting sqref="G255">
    <cfRule type="expression" dxfId="20" priority="4">
      <formula>$C$254="No"</formula>
    </cfRule>
  </conditionalFormatting>
  <conditionalFormatting sqref="G258">
    <cfRule type="expression" dxfId="19" priority="5">
      <formula>$C$257="No"</formula>
    </cfRule>
  </conditionalFormatting>
  <conditionalFormatting sqref="G204">
    <cfRule type="expression" dxfId="18" priority="8">
      <formula>$C$203="No"</formula>
    </cfRule>
  </conditionalFormatting>
  <conditionalFormatting sqref="G207">
    <cfRule type="expression" dxfId="17" priority="9">
      <formula>$C$206="No"</formula>
    </cfRule>
  </conditionalFormatting>
  <conditionalFormatting sqref="G288">
    <cfRule type="expression" dxfId="16" priority="22">
      <formula>$C$287="No"</formula>
    </cfRule>
  </conditionalFormatting>
  <conditionalFormatting sqref="G235">
    <cfRule type="expression" dxfId="15" priority="7">
      <formula>$C$234="No"</formula>
    </cfRule>
  </conditionalFormatting>
  <conditionalFormatting sqref="G232">
    <cfRule type="expression" dxfId="14" priority="6">
      <formula>$C$231="No"</formula>
    </cfRule>
  </conditionalFormatting>
  <conditionalFormatting sqref="G38:G39">
    <cfRule type="expression" dxfId="13" priority="27">
      <formula>$C$37="No"</formula>
    </cfRule>
  </conditionalFormatting>
  <conditionalFormatting sqref="G41:G42">
    <cfRule type="expression" dxfId="12" priority="26">
      <formula>$C$40="No"</formula>
    </cfRule>
  </conditionalFormatting>
  <conditionalFormatting sqref="G123">
    <cfRule type="expression" dxfId="11" priority="14">
      <formula>$C$122="No"</formula>
    </cfRule>
  </conditionalFormatting>
  <conditionalFormatting sqref="G140:G144">
    <cfRule type="expression" dxfId="10" priority="25">
      <formula>$C$139="No"</formula>
    </cfRule>
  </conditionalFormatting>
  <conditionalFormatting sqref="G127">
    <cfRule type="expression" dxfId="9" priority="15">
      <formula>$C$126="No"</formula>
    </cfRule>
  </conditionalFormatting>
  <conditionalFormatting sqref="G99">
    <cfRule type="expression" dxfId="8" priority="16">
      <formula>$C$98="No"</formula>
    </cfRule>
  </conditionalFormatting>
  <conditionalFormatting sqref="G164">
    <cfRule type="expression" dxfId="7" priority="23">
      <formula>$C$163="No"</formula>
    </cfRule>
  </conditionalFormatting>
  <conditionalFormatting sqref="G194">
    <cfRule type="expression" dxfId="6" priority="10">
      <formula>$C$193="No"</formula>
    </cfRule>
  </conditionalFormatting>
  <conditionalFormatting sqref="G174:G175">
    <cfRule type="expression" dxfId="5" priority="11">
      <formula>$C$173="No"</formula>
    </cfRule>
  </conditionalFormatting>
  <conditionalFormatting sqref="G271:G272">
    <cfRule type="expression" dxfId="4" priority="2">
      <formula>$C$270="No"</formula>
    </cfRule>
  </conditionalFormatting>
  <conditionalFormatting sqref="G272">
    <cfRule type="expression" dxfId="3" priority="3">
      <formula>$C$271="No"</formula>
    </cfRule>
  </conditionalFormatting>
  <conditionalFormatting sqref="G252">
    <cfRule type="expression" dxfId="2" priority="21">
      <formula>$C$157="No"</formula>
    </cfRule>
  </conditionalFormatting>
  <conditionalFormatting sqref="G238">
    <cfRule type="expression" dxfId="1" priority="20">
      <formula>$C$231="No"</formula>
    </cfRule>
  </conditionalFormatting>
  <conditionalFormatting sqref="G291">
    <cfRule type="expression" dxfId="0" priority="1">
      <formula>$C$290="No"</formula>
    </cfRule>
  </conditionalFormatting>
  <pageMargins left="0.75" right="0.75" top="1" bottom="1" header="0.5" footer="0.5"/>
  <pageSetup orientation="landscape" r:id="rId1"/>
  <headerFooter>
    <oddFooter>&amp;L&amp;"Helvetica,Regular"&amp;12&amp;K000000	&amp;P</oddFooter>
  </headerFooter>
  <ignoredErrors>
    <ignoredError sqref="E120 E186 E37:E40 E42 E88 E70:E82"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4" sqref="O4"/>
    </sheetView>
  </sheetViews>
  <sheetFormatPr defaultColWidth="6.59765625" defaultRowHeight="12.5" x14ac:dyDescent="0.25"/>
  <cols>
    <col min="1" max="16384" width="6.59765625" style="17"/>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23" sqref="C23"/>
    </sheetView>
  </sheetViews>
  <sheetFormatPr defaultColWidth="10.59765625" defaultRowHeight="15" x14ac:dyDescent="0.3"/>
  <cols>
    <col min="3" max="3" width="93.3984375" customWidth="1"/>
  </cols>
  <sheetData>
    <row r="1" spans="1:3" s="2" customFormat="1" x14ac:dyDescent="0.3">
      <c r="A1" s="2" t="s">
        <v>192</v>
      </c>
      <c r="B1" s="2" t="s">
        <v>0</v>
      </c>
      <c r="C1" s="2" t="s">
        <v>193</v>
      </c>
    </row>
    <row r="2" spans="1:3" x14ac:dyDescent="0.3">
      <c r="A2" t="s">
        <v>194</v>
      </c>
      <c r="B2" s="14">
        <v>42586</v>
      </c>
      <c r="C2" t="s">
        <v>582</v>
      </c>
    </row>
    <row r="3" spans="1:3" ht="30" x14ac:dyDescent="0.3">
      <c r="A3" t="s">
        <v>208</v>
      </c>
      <c r="B3" s="14">
        <v>42596</v>
      </c>
      <c r="C3" t="s">
        <v>209</v>
      </c>
    </row>
    <row r="4" spans="1:3" x14ac:dyDescent="0.3">
      <c r="A4" t="s">
        <v>210</v>
      </c>
      <c r="B4" s="14">
        <v>42597</v>
      </c>
      <c r="C4" t="s">
        <v>583</v>
      </c>
    </row>
    <row r="5" spans="1:3" ht="30" x14ac:dyDescent="0.3">
      <c r="A5" t="s">
        <v>214</v>
      </c>
      <c r="B5" s="14">
        <v>42598</v>
      </c>
      <c r="C5" t="s">
        <v>584</v>
      </c>
    </row>
    <row r="6" spans="1:3" ht="30" x14ac:dyDescent="0.3">
      <c r="A6" t="s">
        <v>492</v>
      </c>
      <c r="B6" s="14">
        <v>42606</v>
      </c>
      <c r="C6" t="s">
        <v>585</v>
      </c>
    </row>
    <row r="7" spans="1:3" ht="30" x14ac:dyDescent="0.3">
      <c r="A7" t="s">
        <v>494</v>
      </c>
      <c r="B7" s="14">
        <v>42607</v>
      </c>
      <c r="C7" t="s">
        <v>586</v>
      </c>
    </row>
    <row r="8" spans="1:3" x14ac:dyDescent="0.3">
      <c r="A8" t="s">
        <v>538</v>
      </c>
      <c r="B8" s="14">
        <v>42608</v>
      </c>
      <c r="C8" t="s">
        <v>587</v>
      </c>
    </row>
    <row r="9" spans="1:3" x14ac:dyDescent="0.3">
      <c r="A9" t="s">
        <v>551</v>
      </c>
      <c r="B9" s="14">
        <v>42608</v>
      </c>
      <c r="C9" t="s">
        <v>552</v>
      </c>
    </row>
    <row r="10" spans="1:3" x14ac:dyDescent="0.3">
      <c r="A10" t="s">
        <v>556</v>
      </c>
      <c r="B10" s="14">
        <v>42634</v>
      </c>
      <c r="C10" t="s">
        <v>557</v>
      </c>
    </row>
    <row r="11" spans="1:3" x14ac:dyDescent="0.3">
      <c r="A11" t="s">
        <v>562</v>
      </c>
      <c r="B11" s="14">
        <v>42636</v>
      </c>
      <c r="C11" t="s">
        <v>581</v>
      </c>
    </row>
    <row r="12" spans="1:3" x14ac:dyDescent="0.3">
      <c r="A12" t="s">
        <v>579</v>
      </c>
      <c r="B12" s="14">
        <v>42639</v>
      </c>
      <c r="C12" t="s">
        <v>580</v>
      </c>
    </row>
    <row r="13" spans="1:3" ht="30" x14ac:dyDescent="0.3">
      <c r="A13" t="s">
        <v>605</v>
      </c>
      <c r="B13" s="14">
        <v>42649</v>
      </c>
      <c r="C13" t="s">
        <v>629</v>
      </c>
    </row>
    <row r="14" spans="1:3" x14ac:dyDescent="0.3">
      <c r="A14" t="s">
        <v>606</v>
      </c>
      <c r="B14" s="14">
        <v>42660</v>
      </c>
      <c r="C14" t="s">
        <v>630</v>
      </c>
    </row>
    <row r="15" spans="1:3" x14ac:dyDescent="0.3">
      <c r="A15" t="s">
        <v>607</v>
      </c>
      <c r="B15" s="14">
        <v>42690</v>
      </c>
      <c r="C15" t="s">
        <v>608</v>
      </c>
    </row>
    <row r="16" spans="1:3" x14ac:dyDescent="0.3">
      <c r="A16" t="s">
        <v>615</v>
      </c>
      <c r="B16" s="14">
        <v>42695</v>
      </c>
      <c r="C16" t="s">
        <v>631</v>
      </c>
    </row>
    <row r="17" spans="1:3" x14ac:dyDescent="0.3">
      <c r="A17" t="s">
        <v>627</v>
      </c>
      <c r="B17" s="14">
        <v>42697</v>
      </c>
      <c r="C17" t="s">
        <v>628</v>
      </c>
    </row>
    <row r="18" spans="1:3" x14ac:dyDescent="0.3">
      <c r="A18" t="s">
        <v>670</v>
      </c>
      <c r="B18" s="14">
        <v>42847</v>
      </c>
      <c r="C18" t="s">
        <v>671</v>
      </c>
    </row>
    <row r="19" spans="1:3" x14ac:dyDescent="0.3">
      <c r="A19" t="s">
        <v>672</v>
      </c>
      <c r="B19" s="14">
        <v>42853</v>
      </c>
      <c r="C19" t="s">
        <v>673</v>
      </c>
    </row>
    <row r="20" spans="1:3" x14ac:dyDescent="0.3">
      <c r="A20" t="s">
        <v>1081</v>
      </c>
      <c r="B20" s="14">
        <v>43032</v>
      </c>
      <c r="C20" t="s">
        <v>1082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46"/>
  <sheetViews>
    <sheetView workbookViewId="0">
      <selection activeCell="A48" sqref="A48"/>
    </sheetView>
  </sheetViews>
  <sheetFormatPr defaultColWidth="11.265625" defaultRowHeight="15" x14ac:dyDescent="0.3"/>
  <cols>
    <col min="1" max="1" width="37" customWidth="1"/>
  </cols>
  <sheetData>
    <row r="1" spans="1:1" x14ac:dyDescent="0.3">
      <c r="A1" s="2" t="s">
        <v>107</v>
      </c>
    </row>
    <row r="3" spans="1:1" x14ac:dyDescent="0.3">
      <c r="A3" s="2" t="s">
        <v>108</v>
      </c>
    </row>
    <row r="4" spans="1:1" x14ac:dyDescent="0.3">
      <c r="A4" t="s">
        <v>19</v>
      </c>
    </row>
    <row r="5" spans="1:1" x14ac:dyDescent="0.3">
      <c r="A5" t="s">
        <v>23</v>
      </c>
    </row>
    <row r="6" spans="1:1" x14ac:dyDescent="0.3">
      <c r="A6" t="s">
        <v>109</v>
      </c>
    </row>
    <row r="8" spans="1:1" x14ac:dyDescent="0.3">
      <c r="A8" s="2" t="s">
        <v>110</v>
      </c>
    </row>
    <row r="9" spans="1:1" x14ac:dyDescent="0.3">
      <c r="A9" t="s">
        <v>111</v>
      </c>
    </row>
    <row r="10" spans="1:1" x14ac:dyDescent="0.3">
      <c r="A10" t="s">
        <v>112</v>
      </c>
    </row>
    <row r="11" spans="1:1" x14ac:dyDescent="0.3">
      <c r="A11" t="s">
        <v>113</v>
      </c>
    </row>
    <row r="12" spans="1:1" x14ac:dyDescent="0.3">
      <c r="A12" t="s">
        <v>41</v>
      </c>
    </row>
    <row r="14" spans="1:1" x14ac:dyDescent="0.3">
      <c r="A14" s="2" t="s">
        <v>114</v>
      </c>
    </row>
    <row r="15" spans="1:1" x14ac:dyDescent="0.3">
      <c r="A15" t="s">
        <v>115</v>
      </c>
    </row>
    <row r="16" spans="1:1" x14ac:dyDescent="0.3">
      <c r="A16" t="s">
        <v>116</v>
      </c>
    </row>
    <row r="17" spans="1:1" x14ac:dyDescent="0.3">
      <c r="A17" t="s">
        <v>117</v>
      </c>
    </row>
    <row r="18" spans="1:1" x14ac:dyDescent="0.3">
      <c r="A18" t="s">
        <v>118</v>
      </c>
    </row>
    <row r="19" spans="1:1" x14ac:dyDescent="0.3">
      <c r="A19" t="s">
        <v>41</v>
      </c>
    </row>
    <row r="21" spans="1:1" x14ac:dyDescent="0.3">
      <c r="A21" s="2" t="s">
        <v>119</v>
      </c>
    </row>
    <row r="22" spans="1:1" x14ac:dyDescent="0.3">
      <c r="A22" t="s">
        <v>121</v>
      </c>
    </row>
    <row r="23" spans="1:1" x14ac:dyDescent="0.3">
      <c r="A23" t="s">
        <v>120</v>
      </c>
    </row>
    <row r="25" spans="1:1" x14ac:dyDescent="0.3">
      <c r="A25" s="2" t="s">
        <v>150</v>
      </c>
    </row>
    <row r="26" spans="1:1" x14ac:dyDescent="0.3">
      <c r="A26" t="s">
        <v>151</v>
      </c>
    </row>
    <row r="27" spans="1:1" x14ac:dyDescent="0.3">
      <c r="A27" t="s">
        <v>152</v>
      </c>
    </row>
    <row r="29" spans="1:1" x14ac:dyDescent="0.3">
      <c r="A29" s="2" t="s">
        <v>156</v>
      </c>
    </row>
    <row r="30" spans="1:1" x14ac:dyDescent="0.3">
      <c r="A30" t="s">
        <v>157</v>
      </c>
    </row>
    <row r="31" spans="1:1" x14ac:dyDescent="0.3">
      <c r="A31" t="s">
        <v>158</v>
      </c>
    </row>
    <row r="33" spans="1:1" x14ac:dyDescent="0.3">
      <c r="A33" s="2" t="s">
        <v>591</v>
      </c>
    </row>
    <row r="34" spans="1:1" x14ac:dyDescent="0.3">
      <c r="A34" t="s">
        <v>592</v>
      </c>
    </row>
    <row r="35" spans="1:1" x14ac:dyDescent="0.3">
      <c r="A35" t="s">
        <v>593</v>
      </c>
    </row>
    <row r="37" spans="1:1" x14ac:dyDescent="0.3">
      <c r="A37" s="2" t="s">
        <v>594</v>
      </c>
    </row>
    <row r="38" spans="1:1" x14ac:dyDescent="0.3">
      <c r="A38" t="s">
        <v>595</v>
      </c>
    </row>
    <row r="39" spans="1:1" x14ac:dyDescent="0.3">
      <c r="A39" t="s">
        <v>596</v>
      </c>
    </row>
    <row r="41" spans="1:1" x14ac:dyDescent="0.3">
      <c r="A41" s="2" t="s">
        <v>610</v>
      </c>
    </row>
    <row r="42" spans="1:1" x14ac:dyDescent="0.3">
      <c r="A42" t="s">
        <v>611</v>
      </c>
    </row>
    <row r="43" spans="1:1" x14ac:dyDescent="0.3">
      <c r="A43" t="s">
        <v>612</v>
      </c>
    </row>
    <row r="44" spans="1:1" x14ac:dyDescent="0.3">
      <c r="A44" t="s">
        <v>613</v>
      </c>
    </row>
    <row r="45" spans="1:1" x14ac:dyDescent="0.3">
      <c r="A45" t="s">
        <v>614</v>
      </c>
    </row>
    <row r="46" spans="1:1" x14ac:dyDescent="0.3">
      <c r="A46"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Sharing Read Me</vt:lpstr>
      <vt:lpstr>Instructions</vt:lpstr>
      <vt:lpstr>Cloud Vendor Assessment Tool</vt:lpstr>
      <vt:lpstr>Standards Crosswalk</vt:lpstr>
      <vt:lpstr>Acknowledgments</vt:lpstr>
      <vt:lpstr>ChangeLog</vt:lpstr>
      <vt:lpstr>Values</vt:lpstr>
      <vt:lpstr>Instructions!_ftn1</vt:lpstr>
      <vt:lpstr>Instructions!_ftnref1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Bryner, Bruce A</dc:creator>
  <cp:lastModifiedBy>Joanna Grama</cp:lastModifiedBy>
  <cp:revision/>
  <dcterms:created xsi:type="dcterms:W3CDTF">2015-03-06T14:56:12Z</dcterms:created>
  <dcterms:modified xsi:type="dcterms:W3CDTF">2017-10-25T00:30:19Z</dcterms:modified>
</cp:coreProperties>
</file>